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WebPostings_IASB\Advocacy_Tools\2023_Session\"/>
    </mc:Choice>
  </mc:AlternateContent>
  <xr:revisionPtr revIDLastSave="0" documentId="13_ncr:1_{304F2CBF-EF14-4FD8-8D44-D510E13AA5BB}" xr6:coauthVersionLast="47" xr6:coauthVersionMax="47" xr10:uidLastSave="{00000000-0000-0000-0000-000000000000}"/>
  <workbookProtection workbookAlgorithmName="SHA-512" workbookHashValue="Revl/k2dEapTNZ12BQe2UfQslXxMj7+Mz1tL6hP7lIzNR9u+h11C9TzoKAMNsATAefHHGqVPSFl/qmc6iFEzBw==" workbookSaltValue="+3Toj7bzmBCViVaalW3MAw==" workbookSpinCount="100000" lockStructure="1"/>
  <bookViews>
    <workbookView xWindow="28680" yWindow="4095" windowWidth="29040" windowHeight="15840" tabRatio="921" xr2:uid="{00000000-000D-0000-FFFF-FFFF00000000}"/>
  </bookViews>
  <sheets>
    <sheet name="Driver" sheetId="12" r:id="rId1"/>
    <sheet name="Notes" sheetId="25" state="hidden" r:id="rId2"/>
    <sheet name="FYXX_0" sheetId="2" state="hidden" r:id="rId3"/>
    <sheet name="FYXX_.05" sheetId="3" state="hidden" r:id="rId4"/>
    <sheet name="FYXX_1" sheetId="4" state="hidden" r:id="rId5"/>
    <sheet name="FYXX_1.5" sheetId="5" state="hidden" r:id="rId6"/>
    <sheet name="FYXX_2.0" sheetId="24" state="hidden" r:id="rId7"/>
    <sheet name="FYXX_2.5" sheetId="6" state="hidden" r:id="rId8"/>
    <sheet name="FYXX_3" sheetId="7" state="hidden" r:id="rId9"/>
    <sheet name="FYXX_3.5" sheetId="8" state="hidden" r:id="rId10"/>
    <sheet name="FYXX_4" sheetId="9" state="hidden" r:id="rId11"/>
    <sheet name="AEA_Names" sheetId="1" state="hidden" r:id="rId12"/>
    <sheet name="FY_2023" sheetId="14" state="hidden" r:id="rId13"/>
    <sheet name="Keystone" sheetId="15" r:id="rId14"/>
    <sheet name="PrairieLakes" sheetId="16" r:id="rId15"/>
    <sheet name="CentralRivers" sheetId="17" r:id="rId16"/>
    <sheet name="Miss_Bend" sheetId="18" r:id="rId17"/>
    <sheet name="GrantWood" sheetId="19" r:id="rId18"/>
    <sheet name="Heartland" sheetId="20" r:id="rId19"/>
    <sheet name="Northwest" sheetId="21" r:id="rId20"/>
    <sheet name="GreenHills" sheetId="22" r:id="rId21"/>
    <sheet name="GreatPrairie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9" l="1"/>
  <c r="M15" i="8"/>
  <c r="M15" i="7"/>
  <c r="M15" i="6"/>
  <c r="M15" i="24"/>
  <c r="M15" i="5"/>
  <c r="M15" i="4"/>
  <c r="M15" i="3"/>
  <c r="M15" i="2"/>
  <c r="A13" i="15" l="1"/>
  <c r="A13" i="20"/>
  <c r="G25" i="12"/>
  <c r="O13" i="9"/>
  <c r="O17" i="9"/>
  <c r="N13" i="9"/>
  <c r="N17" i="9" s="1"/>
  <c r="M13" i="9"/>
  <c r="O15" i="9" s="1"/>
  <c r="L13" i="9"/>
  <c r="K13" i="9"/>
  <c r="K17" i="9" s="1"/>
  <c r="J13" i="9"/>
  <c r="I13" i="9"/>
  <c r="H13" i="9"/>
  <c r="H17" i="9" s="1"/>
  <c r="G13" i="9"/>
  <c r="F13" i="9"/>
  <c r="Q15" i="9" s="1"/>
  <c r="O13" i="8"/>
  <c r="N13" i="8"/>
  <c r="M13" i="8"/>
  <c r="M17" i="8" s="1"/>
  <c r="L13" i="8"/>
  <c r="K13" i="8"/>
  <c r="Q15" i="8" s="1"/>
  <c r="Q13" i="8"/>
  <c r="J13" i="8"/>
  <c r="I13" i="8"/>
  <c r="H13" i="8"/>
  <c r="G13" i="8"/>
  <c r="F13" i="8"/>
  <c r="O13" i="7"/>
  <c r="O17" i="7" s="1"/>
  <c r="N13" i="7"/>
  <c r="M13" i="7"/>
  <c r="L13" i="7"/>
  <c r="K13" i="7"/>
  <c r="J13" i="7"/>
  <c r="I13" i="7"/>
  <c r="H13" i="7"/>
  <c r="H17" i="7" s="1"/>
  <c r="G13" i="7"/>
  <c r="Q13" i="7" s="1"/>
  <c r="F13" i="7"/>
  <c r="Q15" i="7" s="1"/>
  <c r="O13" i="6"/>
  <c r="O17" i="6"/>
  <c r="N13" i="6"/>
  <c r="M13" i="6"/>
  <c r="O15" i="6" s="1"/>
  <c r="L13" i="6"/>
  <c r="K13" i="6"/>
  <c r="K17" i="6" s="1"/>
  <c r="J13" i="6"/>
  <c r="I13" i="6"/>
  <c r="H13" i="6"/>
  <c r="G13" i="6"/>
  <c r="F13" i="6"/>
  <c r="F17" i="6" s="1"/>
  <c r="O13" i="24"/>
  <c r="O17" i="24" s="1"/>
  <c r="N13" i="24"/>
  <c r="M13" i="24"/>
  <c r="L13" i="24"/>
  <c r="K13" i="24"/>
  <c r="K17" i="24" s="1"/>
  <c r="J13" i="24"/>
  <c r="J17" i="24" s="1"/>
  <c r="I13" i="24"/>
  <c r="H13" i="24"/>
  <c r="G13" i="24"/>
  <c r="F13" i="24"/>
  <c r="Q15" i="24" s="1"/>
  <c r="O13" i="5"/>
  <c r="N13" i="5"/>
  <c r="N17" i="5"/>
  <c r="M13" i="5"/>
  <c r="M17" i="5" s="1"/>
  <c r="L13" i="5"/>
  <c r="K13" i="5"/>
  <c r="K17" i="5"/>
  <c r="J13" i="5"/>
  <c r="I13" i="5"/>
  <c r="I17" i="5" s="1"/>
  <c r="H13" i="5"/>
  <c r="O15" i="5" s="1"/>
  <c r="G13" i="5"/>
  <c r="F13" i="5"/>
  <c r="Q13" i="5" s="1"/>
  <c r="O13" i="4"/>
  <c r="N13" i="4"/>
  <c r="N17" i="4"/>
  <c r="M13" i="4"/>
  <c r="M17" i="4" s="1"/>
  <c r="O15" i="4"/>
  <c r="L13" i="4"/>
  <c r="K13" i="4"/>
  <c r="J13" i="4"/>
  <c r="I13" i="4"/>
  <c r="I17" i="4"/>
  <c r="H13" i="4"/>
  <c r="G13" i="4"/>
  <c r="Q15" i="4" s="1"/>
  <c r="Q13" i="4"/>
  <c r="F13" i="4"/>
  <c r="O13" i="3"/>
  <c r="O17" i="3" s="1"/>
  <c r="N13" i="3"/>
  <c r="N17" i="3"/>
  <c r="M13" i="3"/>
  <c r="L13" i="3"/>
  <c r="O15" i="3" s="1"/>
  <c r="K13" i="3"/>
  <c r="J13" i="3"/>
  <c r="I13" i="3"/>
  <c r="I17" i="3" s="1"/>
  <c r="H13" i="3"/>
  <c r="H17" i="3" s="1"/>
  <c r="G13" i="3"/>
  <c r="F13" i="3"/>
  <c r="F17" i="3" s="1"/>
  <c r="Q13" i="3"/>
  <c r="O14" i="14"/>
  <c r="N14" i="14"/>
  <c r="N17" i="8" s="1"/>
  <c r="L14" i="14"/>
  <c r="K14" i="14"/>
  <c r="K17" i="3" s="1"/>
  <c r="J14" i="14"/>
  <c r="J17" i="6" s="1"/>
  <c r="I14" i="14"/>
  <c r="I17" i="8" s="1"/>
  <c r="H14" i="14"/>
  <c r="H17" i="4" s="1"/>
  <c r="G14" i="14"/>
  <c r="F14" i="14"/>
  <c r="F17" i="8" s="1"/>
  <c r="R5" i="16"/>
  <c r="R5" i="17"/>
  <c r="R5" i="18"/>
  <c r="R5" i="19" s="1"/>
  <c r="R5" i="20" s="1"/>
  <c r="R5" i="21" s="1"/>
  <c r="R5" i="22" s="1"/>
  <c r="R5" i="23" s="1"/>
  <c r="Q5" i="16"/>
  <c r="Q5" i="17" s="1"/>
  <c r="Q5" i="18" s="1"/>
  <c r="Q5" i="19" s="1"/>
  <c r="Q5" i="20" s="1"/>
  <c r="Q5" i="21" s="1"/>
  <c r="Q5" i="22" s="1"/>
  <c r="Q5" i="23" s="1"/>
  <c r="O4" i="16"/>
  <c r="O4" i="17" s="1"/>
  <c r="O4" i="18" s="1"/>
  <c r="O4" i="19" s="1"/>
  <c r="O4" i="20" s="1"/>
  <c r="O4" i="21" s="1"/>
  <c r="O4" i="22" s="1"/>
  <c r="O4" i="23" s="1"/>
  <c r="A11" i="15"/>
  <c r="A11" i="21" s="1"/>
  <c r="D23" i="12"/>
  <c r="P19" i="12"/>
  <c r="Q19" i="12"/>
  <c r="M23" i="12"/>
  <c r="J27" i="12"/>
  <c r="J28" i="12"/>
  <c r="J29" i="12"/>
  <c r="J30" i="12"/>
  <c r="J31" i="12"/>
  <c r="J32" i="12"/>
  <c r="J33" i="12"/>
  <c r="J34" i="12"/>
  <c r="J26" i="12"/>
  <c r="A9" i="23"/>
  <c r="A7" i="23"/>
  <c r="A9" i="22"/>
  <c r="A7" i="22"/>
  <c r="A9" i="21"/>
  <c r="A7" i="21"/>
  <c r="A9" i="20"/>
  <c r="A7" i="20"/>
  <c r="A9" i="19"/>
  <c r="A7" i="19"/>
  <c r="A9" i="18"/>
  <c r="A7" i="18"/>
  <c r="K5" i="17"/>
  <c r="K5" i="18"/>
  <c r="K5" i="19"/>
  <c r="K5" i="20"/>
  <c r="K5" i="21"/>
  <c r="K5" i="22"/>
  <c r="K5" i="23"/>
  <c r="C5" i="17"/>
  <c r="C5" i="18"/>
  <c r="C5" i="19"/>
  <c r="C5" i="20"/>
  <c r="C5" i="21"/>
  <c r="C5" i="22"/>
  <c r="C5" i="23"/>
  <c r="D5" i="17"/>
  <c r="D5" i="18"/>
  <c r="D5" i="19"/>
  <c r="D5" i="20"/>
  <c r="D5" i="21"/>
  <c r="D5" i="22"/>
  <c r="D5" i="23"/>
  <c r="E5" i="17"/>
  <c r="E5" i="18"/>
  <c r="E5" i="19"/>
  <c r="E5" i="20"/>
  <c r="E5" i="21"/>
  <c r="E5" i="22"/>
  <c r="E5" i="23"/>
  <c r="F5" i="17"/>
  <c r="F5" i="18"/>
  <c r="F5" i="19"/>
  <c r="F5" i="20"/>
  <c r="F5" i="21"/>
  <c r="F5" i="22"/>
  <c r="F5" i="23"/>
  <c r="G5" i="17"/>
  <c r="G5" i="18"/>
  <c r="G5" i="19"/>
  <c r="G5" i="20"/>
  <c r="G5" i="21"/>
  <c r="G5" i="22"/>
  <c r="G5" i="23"/>
  <c r="H5" i="17"/>
  <c r="H5" i="18"/>
  <c r="H5" i="19"/>
  <c r="H5" i="20"/>
  <c r="H5" i="21"/>
  <c r="H5" i="22"/>
  <c r="H5" i="23"/>
  <c r="I5" i="17"/>
  <c r="I5" i="18"/>
  <c r="I5" i="19"/>
  <c r="I5" i="20"/>
  <c r="I5" i="21"/>
  <c r="I5" i="22"/>
  <c r="I5" i="23"/>
  <c r="J5" i="17"/>
  <c r="J5" i="18"/>
  <c r="J5" i="19"/>
  <c r="J5" i="20"/>
  <c r="J5" i="21"/>
  <c r="J5" i="22"/>
  <c r="J5" i="23"/>
  <c r="B5" i="17"/>
  <c r="B5" i="18"/>
  <c r="B5" i="19"/>
  <c r="B5" i="20"/>
  <c r="B5" i="21"/>
  <c r="B5" i="22"/>
  <c r="B5" i="23"/>
  <c r="A9" i="17"/>
  <c r="A7" i="17"/>
  <c r="M5" i="16"/>
  <c r="M5" i="17" s="1"/>
  <c r="M5" i="18" s="1"/>
  <c r="M5" i="19" s="1"/>
  <c r="M5" i="20" s="1"/>
  <c r="M5" i="21" s="1"/>
  <c r="M5" i="22" s="1"/>
  <c r="M5" i="23" s="1"/>
  <c r="L5" i="16"/>
  <c r="L5" i="17" s="1"/>
  <c r="L5" i="18" s="1"/>
  <c r="L5" i="19" s="1"/>
  <c r="L5" i="20" s="1"/>
  <c r="L5" i="21" s="1"/>
  <c r="L5" i="22" s="1"/>
  <c r="L5" i="23" s="1"/>
  <c r="C1" i="16"/>
  <c r="C1" i="17" s="1"/>
  <c r="C1" i="18" s="1"/>
  <c r="C1" i="19" s="1"/>
  <c r="C1" i="20" s="1"/>
  <c r="C1" i="21" s="1"/>
  <c r="C1" i="22" s="1"/>
  <c r="C1" i="23" s="1"/>
  <c r="A9" i="16"/>
  <c r="A7" i="16"/>
  <c r="A18" i="15"/>
  <c r="A17" i="16" s="1"/>
  <c r="A15" i="15"/>
  <c r="A15" i="20"/>
  <c r="A14" i="15"/>
  <c r="A14" i="23"/>
  <c r="P27" i="12"/>
  <c r="P28" i="12"/>
  <c r="P29" i="12"/>
  <c r="P30" i="12"/>
  <c r="P31" i="12"/>
  <c r="P32" i="12"/>
  <c r="P33" i="12"/>
  <c r="P34" i="12"/>
  <c r="P26" i="12"/>
  <c r="A14" i="17"/>
  <c r="A14" i="16"/>
  <c r="A14" i="18"/>
  <c r="A14" i="19"/>
  <c r="A14" i="20"/>
  <c r="A14" i="21"/>
  <c r="A14" i="22"/>
  <c r="G13" i="2"/>
  <c r="Q15" i="2" s="1"/>
  <c r="H13" i="2"/>
  <c r="H17" i="2" s="1"/>
  <c r="I13" i="2"/>
  <c r="I17" i="2" s="1"/>
  <c r="J13" i="2"/>
  <c r="K13" i="2"/>
  <c r="K17" i="2"/>
  <c r="L13" i="2"/>
  <c r="M13" i="2"/>
  <c r="N13" i="2"/>
  <c r="O13" i="2"/>
  <c r="O17" i="2" s="1"/>
  <c r="F13" i="2"/>
  <c r="F17" i="2" s="1"/>
  <c r="J7" i="23"/>
  <c r="O11" i="23" s="1"/>
  <c r="D7" i="23"/>
  <c r="E7" i="23"/>
  <c r="F7" i="23"/>
  <c r="G7" i="23"/>
  <c r="H7" i="23"/>
  <c r="I7" i="23"/>
  <c r="C7" i="23"/>
  <c r="K7" i="23" s="1"/>
  <c r="B11" i="23"/>
  <c r="B9" i="23"/>
  <c r="J7" i="22"/>
  <c r="M15" i="12"/>
  <c r="M33" i="12"/>
  <c r="D7" i="22"/>
  <c r="E7" i="22"/>
  <c r="F7" i="22"/>
  <c r="G7" i="22"/>
  <c r="H7" i="22"/>
  <c r="I7" i="22"/>
  <c r="C7" i="22"/>
  <c r="K7" i="22" s="1"/>
  <c r="B11" i="22"/>
  <c r="B9" i="22"/>
  <c r="J7" i="21"/>
  <c r="M14" i="12" s="1"/>
  <c r="D7" i="21"/>
  <c r="E7" i="21"/>
  <c r="F7" i="21"/>
  <c r="G7" i="21"/>
  <c r="K7" i="21" s="1"/>
  <c r="H7" i="21"/>
  <c r="I7" i="21"/>
  <c r="C7" i="21"/>
  <c r="B11" i="21"/>
  <c r="B9" i="21"/>
  <c r="J7" i="20"/>
  <c r="O11" i="20" s="1"/>
  <c r="D7" i="20"/>
  <c r="K7" i="20" s="1"/>
  <c r="E7" i="20"/>
  <c r="F7" i="20"/>
  <c r="G7" i="20"/>
  <c r="H7" i="20"/>
  <c r="I7" i="20"/>
  <c r="C7" i="20"/>
  <c r="B11" i="20"/>
  <c r="B9" i="20"/>
  <c r="J7" i="19"/>
  <c r="M12" i="12" s="1"/>
  <c r="D7" i="19"/>
  <c r="E7" i="19"/>
  <c r="F7" i="19"/>
  <c r="G7" i="19"/>
  <c r="H7" i="19"/>
  <c r="I7" i="19"/>
  <c r="C7" i="19"/>
  <c r="K7" i="19" s="1"/>
  <c r="B11" i="19"/>
  <c r="B9" i="19"/>
  <c r="J7" i="18"/>
  <c r="M11" i="12"/>
  <c r="M29" i="12"/>
  <c r="D7" i="18"/>
  <c r="K7" i="18" s="1"/>
  <c r="E7" i="18"/>
  <c r="F7" i="18"/>
  <c r="G7" i="18"/>
  <c r="H7" i="18"/>
  <c r="I7" i="18"/>
  <c r="C7" i="18"/>
  <c r="B11" i="18"/>
  <c r="B9" i="18"/>
  <c r="J7" i="17"/>
  <c r="O9" i="17" s="1"/>
  <c r="D7" i="17"/>
  <c r="E7" i="17"/>
  <c r="F7" i="17"/>
  <c r="G7" i="17"/>
  <c r="K7" i="17" s="1"/>
  <c r="H7" i="17"/>
  <c r="I7" i="17"/>
  <c r="C7" i="17"/>
  <c r="B11" i="17"/>
  <c r="B9" i="17"/>
  <c r="O9" i="18"/>
  <c r="O11" i="18"/>
  <c r="M13" i="12"/>
  <c r="M31" i="12"/>
  <c r="O11" i="19"/>
  <c r="O9" i="19"/>
  <c r="O9" i="21"/>
  <c r="M16" i="12"/>
  <c r="M34" i="12" s="1"/>
  <c r="O11" i="22"/>
  <c r="O9" i="22"/>
  <c r="J7" i="16"/>
  <c r="O9" i="16" s="1"/>
  <c r="D7" i="16"/>
  <c r="E7" i="16"/>
  <c r="F7" i="16"/>
  <c r="G7" i="16"/>
  <c r="H7" i="16"/>
  <c r="I7" i="16"/>
  <c r="C7" i="16"/>
  <c r="K7" i="16" s="1"/>
  <c r="B11" i="16"/>
  <c r="B9" i="16"/>
  <c r="P37" i="12"/>
  <c r="Q37" i="12" s="1"/>
  <c r="B11" i="15"/>
  <c r="J7" i="15"/>
  <c r="D7" i="15"/>
  <c r="E7" i="15"/>
  <c r="F7" i="15"/>
  <c r="G7" i="15"/>
  <c r="H7" i="15"/>
  <c r="I7" i="15"/>
  <c r="C7" i="15"/>
  <c r="K7" i="15" s="1"/>
  <c r="B9" i="15"/>
  <c r="M12" i="14"/>
  <c r="M14" i="14"/>
  <c r="R11" i="14"/>
  <c r="S11" i="14"/>
  <c r="R10" i="14"/>
  <c r="S10" i="14"/>
  <c r="R9" i="14"/>
  <c r="S9" i="14" s="1"/>
  <c r="R8" i="14"/>
  <c r="S8" i="14"/>
  <c r="R7" i="14"/>
  <c r="S7" i="14"/>
  <c r="R6" i="14"/>
  <c r="S6" i="14"/>
  <c r="R5" i="14"/>
  <c r="S5" i="14" s="1"/>
  <c r="R4" i="14"/>
  <c r="S4" i="14"/>
  <c r="R3" i="14"/>
  <c r="S3" i="14"/>
  <c r="M8" i="12"/>
  <c r="M26" i="12"/>
  <c r="O11" i="15"/>
  <c r="O9" i="15"/>
  <c r="G11" i="16"/>
  <c r="G11" i="18"/>
  <c r="G11" i="20"/>
  <c r="G11" i="22"/>
  <c r="G11" i="15"/>
  <c r="G11" i="17"/>
  <c r="G11" i="19"/>
  <c r="G11" i="21"/>
  <c r="G11" i="23"/>
  <c r="J11" i="17"/>
  <c r="J11" i="21"/>
  <c r="J11" i="19"/>
  <c r="J11" i="16"/>
  <c r="J11" i="15"/>
  <c r="J11" i="18"/>
  <c r="J11" i="22"/>
  <c r="J11" i="23"/>
  <c r="J11" i="20"/>
  <c r="G9" i="22"/>
  <c r="J9" i="20"/>
  <c r="J9" i="18"/>
  <c r="J9" i="15"/>
  <c r="J9" i="22"/>
  <c r="G9" i="19"/>
  <c r="G9" i="15"/>
  <c r="G9" i="23"/>
  <c r="G9" i="21"/>
  <c r="J9" i="19"/>
  <c r="G9" i="16"/>
  <c r="J9" i="23"/>
  <c r="J9" i="21"/>
  <c r="G9" i="20"/>
  <c r="G9" i="18"/>
  <c r="J9" i="16"/>
  <c r="G9" i="17"/>
  <c r="J9" i="17"/>
  <c r="G36" i="12"/>
  <c r="J36" i="12"/>
  <c r="J18" i="12"/>
  <c r="G18" i="12"/>
  <c r="J17" i="3"/>
  <c r="J17" i="4"/>
  <c r="J17" i="9"/>
  <c r="J17" i="2"/>
  <c r="J17" i="7"/>
  <c r="J17" i="5"/>
  <c r="J17" i="8"/>
  <c r="F17" i="24"/>
  <c r="M17" i="6"/>
  <c r="M17" i="24"/>
  <c r="M17" i="7"/>
  <c r="M17" i="3"/>
  <c r="O11" i="21"/>
  <c r="K17" i="4"/>
  <c r="O17" i="5"/>
  <c r="I17" i="24"/>
  <c r="I17" i="7"/>
  <c r="I17" i="9"/>
  <c r="O17" i="4"/>
  <c r="I17" i="6"/>
  <c r="F12" i="12"/>
  <c r="F9" i="19" s="1"/>
  <c r="E16" i="12"/>
  <c r="E9" i="23" s="1"/>
  <c r="H16" i="12"/>
  <c r="H9" i="23" s="1"/>
  <c r="F11" i="12"/>
  <c r="F9" i="18" s="1"/>
  <c r="A12" i="12"/>
  <c r="B12" i="12" s="1"/>
  <c r="C3" i="19" s="1"/>
  <c r="E13" i="12"/>
  <c r="E9" i="20" s="1"/>
  <c r="D15" i="12"/>
  <c r="D9" i="22" s="1"/>
  <c r="D9" i="12"/>
  <c r="D9" i="16" s="1"/>
  <c r="A13" i="12"/>
  <c r="B13" i="12" s="1"/>
  <c r="C3" i="20" s="1"/>
  <c r="H11" i="12"/>
  <c r="I8" i="12"/>
  <c r="I9" i="15" s="1"/>
  <c r="F8" i="12"/>
  <c r="F9" i="15" s="1"/>
  <c r="H14" i="12"/>
  <c r="H9" i="21" s="1"/>
  <c r="C14" i="12"/>
  <c r="C9" i="21" s="1"/>
  <c r="E11" i="12"/>
  <c r="E9" i="18" s="1"/>
  <c r="C16" i="12"/>
  <c r="C9" i="23" s="1"/>
  <c r="D16" i="12"/>
  <c r="D9" i="23" s="1"/>
  <c r="I10" i="12"/>
  <c r="I9" i="17" s="1"/>
  <c r="H15" i="12"/>
  <c r="H9" i="22" s="1"/>
  <c r="F16" i="12"/>
  <c r="F9" i="23" s="1"/>
  <c r="H9" i="12"/>
  <c r="H9" i="16" s="1"/>
  <c r="F9" i="12"/>
  <c r="F9" i="16" s="1"/>
  <c r="C11" i="12"/>
  <c r="C9" i="18" s="1"/>
  <c r="E15" i="12"/>
  <c r="E9" i="22" s="1"/>
  <c r="C8" i="12"/>
  <c r="C9" i="15" s="1"/>
  <c r="A15" i="12"/>
  <c r="B15" i="12" s="1"/>
  <c r="D12" i="12"/>
  <c r="D9" i="19" s="1"/>
  <c r="D11" i="12"/>
  <c r="D9" i="18" s="1"/>
  <c r="H10" i="12"/>
  <c r="H9" i="17" s="1"/>
  <c r="E14" i="12"/>
  <c r="E9" i="21" s="1"/>
  <c r="C10" i="12"/>
  <c r="C9" i="17" s="1"/>
  <c r="I15" i="12"/>
  <c r="I9" i="22" s="1"/>
  <c r="E10" i="12"/>
  <c r="E9" i="17" s="1"/>
  <c r="D10" i="12"/>
  <c r="D9" i="17" s="1"/>
  <c r="H8" i="12"/>
  <c r="H9" i="15" s="1"/>
  <c r="A14" i="12"/>
  <c r="B14" i="12" s="1"/>
  <c r="C3" i="21" s="1"/>
  <c r="F14" i="12"/>
  <c r="F9" i="21" s="1"/>
  <c r="C15" i="12"/>
  <c r="F13" i="12"/>
  <c r="F9" i="20" s="1"/>
  <c r="E8" i="12"/>
  <c r="E9" i="15" s="1"/>
  <c r="D14" i="12"/>
  <c r="D9" i="21" s="1"/>
  <c r="I14" i="12"/>
  <c r="I9" i="21" s="1"/>
  <c r="A8" i="12"/>
  <c r="B8" i="12" s="1"/>
  <c r="C3" i="15" s="1"/>
  <c r="E9" i="12"/>
  <c r="E9" i="16" s="1"/>
  <c r="F15" i="12"/>
  <c r="F9" i="22" s="1"/>
  <c r="D13" i="12"/>
  <c r="D9" i="20" s="1"/>
  <c r="I9" i="12"/>
  <c r="I9" i="16" s="1"/>
  <c r="A9" i="12"/>
  <c r="B9" i="12" s="1"/>
  <c r="C3" i="16" s="1"/>
  <c r="F10" i="12"/>
  <c r="F9" i="17" s="1"/>
  <c r="H12" i="12"/>
  <c r="H9" i="19"/>
  <c r="I12" i="12"/>
  <c r="I9" i="19" s="1"/>
  <c r="I13" i="12"/>
  <c r="I9" i="20" s="1"/>
  <c r="E12" i="12"/>
  <c r="C9" i="12"/>
  <c r="C9" i="16" s="1"/>
  <c r="A16" i="12"/>
  <c r="B16" i="12" s="1"/>
  <c r="C3" i="23" s="1"/>
  <c r="I16" i="12"/>
  <c r="I9" i="23" s="1"/>
  <c r="A10" i="12"/>
  <c r="B10" i="12" s="1"/>
  <c r="C3" i="17" s="1"/>
  <c r="H13" i="12"/>
  <c r="H9" i="20" s="1"/>
  <c r="C12" i="12"/>
  <c r="C9" i="19" s="1"/>
  <c r="D8" i="12"/>
  <c r="I11" i="12"/>
  <c r="I9" i="18" s="1"/>
  <c r="A11" i="12"/>
  <c r="B11" i="12" s="1"/>
  <c r="C3" i="18" s="1"/>
  <c r="C13" i="12"/>
  <c r="F17" i="4"/>
  <c r="A13" i="19"/>
  <c r="A13" i="18"/>
  <c r="A13" i="17"/>
  <c r="A13" i="16"/>
  <c r="A13" i="22"/>
  <c r="A13" i="21"/>
  <c r="A13" i="23"/>
  <c r="A15" i="19"/>
  <c r="A15" i="21"/>
  <c r="A15" i="18"/>
  <c r="A15" i="23"/>
  <c r="A15" i="16"/>
  <c r="A15" i="17"/>
  <c r="A15" i="22"/>
  <c r="A17" i="22"/>
  <c r="A17" i="21"/>
  <c r="A17" i="23"/>
  <c r="A17" i="19"/>
  <c r="A17" i="20"/>
  <c r="I31" i="12" l="1"/>
  <c r="I11" i="20" s="1"/>
  <c r="C29" i="12"/>
  <c r="C11" i="18" s="1"/>
  <c r="H28" i="12"/>
  <c r="H11" i="17" s="1"/>
  <c r="E30" i="12"/>
  <c r="E11" i="19" s="1"/>
  <c r="H31" i="12"/>
  <c r="H11" i="20" s="1"/>
  <c r="H26" i="12"/>
  <c r="H11" i="15" s="1"/>
  <c r="I28" i="12"/>
  <c r="I11" i="17" s="1"/>
  <c r="C31" i="12"/>
  <c r="C11" i="20" s="1"/>
  <c r="K11" i="20" s="1"/>
  <c r="L11" i="20" s="1"/>
  <c r="M11" i="20" s="1"/>
  <c r="C30" i="12"/>
  <c r="E26" i="12"/>
  <c r="E11" i="15" s="1"/>
  <c r="I33" i="12"/>
  <c r="I11" i="22" s="1"/>
  <c r="F34" i="12"/>
  <c r="F11" i="23" s="1"/>
  <c r="A30" i="12"/>
  <c r="B30" i="12" s="1"/>
  <c r="H32" i="12"/>
  <c r="H11" i="21" s="1"/>
  <c r="F26" i="12"/>
  <c r="F11" i="15" s="1"/>
  <c r="C33" i="12"/>
  <c r="C11" i="22" s="1"/>
  <c r="K11" i="22" s="1"/>
  <c r="L11" i="22" s="1"/>
  <c r="M11" i="22" s="1"/>
  <c r="C32" i="12"/>
  <c r="C11" i="21" s="1"/>
  <c r="F33" i="12"/>
  <c r="F11" i="22" s="1"/>
  <c r="F28" i="12"/>
  <c r="F11" i="17" s="1"/>
  <c r="C26" i="12"/>
  <c r="C11" i="15" s="1"/>
  <c r="D29" i="12"/>
  <c r="K29" i="12" s="1"/>
  <c r="I27" i="12"/>
  <c r="I11" i="16" s="1"/>
  <c r="D28" i="12"/>
  <c r="D11" i="17" s="1"/>
  <c r="F27" i="12"/>
  <c r="F11" i="16" s="1"/>
  <c r="D32" i="12"/>
  <c r="D11" i="21" s="1"/>
  <c r="E29" i="12"/>
  <c r="E11" i="18" s="1"/>
  <c r="F30" i="12"/>
  <c r="F11" i="19" s="1"/>
  <c r="A26" i="12"/>
  <c r="B26" i="12" s="1"/>
  <c r="A33" i="12"/>
  <c r="B33" i="12" s="1"/>
  <c r="C3" i="22" s="1"/>
  <c r="D30" i="12"/>
  <c r="D11" i="19" s="1"/>
  <c r="I32" i="12"/>
  <c r="I11" i="21" s="1"/>
  <c r="P11" i="21" s="1"/>
  <c r="Q11" i="21" s="1"/>
  <c r="R11" i="21" s="1"/>
  <c r="C28" i="12"/>
  <c r="C11" i="17" s="1"/>
  <c r="K11" i="17" s="1"/>
  <c r="L11" i="17" s="1"/>
  <c r="M11" i="17" s="1"/>
  <c r="C27" i="12"/>
  <c r="H27" i="12"/>
  <c r="H11" i="16" s="1"/>
  <c r="A31" i="12"/>
  <c r="B31" i="12" s="1"/>
  <c r="D31" i="12"/>
  <c r="D11" i="20" s="1"/>
  <c r="E34" i="12"/>
  <c r="E11" i="23" s="1"/>
  <c r="P11" i="23" s="1"/>
  <c r="Q11" i="23" s="1"/>
  <c r="R11" i="23" s="1"/>
  <c r="E28" i="12"/>
  <c r="E11" i="17" s="1"/>
  <c r="I30" i="12"/>
  <c r="I11" i="19" s="1"/>
  <c r="E27" i="12"/>
  <c r="E11" i="16" s="1"/>
  <c r="D26" i="12"/>
  <c r="H34" i="12"/>
  <c r="H11" i="23" s="1"/>
  <c r="E33" i="12"/>
  <c r="E11" i="22" s="1"/>
  <c r="A27" i="12"/>
  <c r="B27" i="12" s="1"/>
  <c r="A34" i="12"/>
  <c r="B34" i="12" s="1"/>
  <c r="I34" i="12"/>
  <c r="I11" i="23" s="1"/>
  <c r="I26" i="12"/>
  <c r="I11" i="15" s="1"/>
  <c r="E32" i="12"/>
  <c r="E11" i="21" s="1"/>
  <c r="F32" i="12"/>
  <c r="F11" i="21" s="1"/>
  <c r="D27" i="12"/>
  <c r="D11" i="16" s="1"/>
  <c r="A28" i="12"/>
  <c r="B28" i="12" s="1"/>
  <c r="F29" i="12"/>
  <c r="F11" i="18" s="1"/>
  <c r="H33" i="12"/>
  <c r="H11" i="22" s="1"/>
  <c r="C34" i="12"/>
  <c r="C11" i="23" s="1"/>
  <c r="A32" i="12"/>
  <c r="B32" i="12" s="1"/>
  <c r="E31" i="12"/>
  <c r="E11" i="20" s="1"/>
  <c r="F31" i="12"/>
  <c r="F11" i="20" s="1"/>
  <c r="H30" i="12"/>
  <c r="H11" i="19" s="1"/>
  <c r="H29" i="12"/>
  <c r="H11" i="18" s="1"/>
  <c r="D33" i="12"/>
  <c r="D11" i="22" s="1"/>
  <c r="A29" i="12"/>
  <c r="B29" i="12" s="1"/>
  <c r="D34" i="12"/>
  <c r="D11" i="23" s="1"/>
  <c r="I29" i="12"/>
  <c r="I11" i="18" s="1"/>
  <c r="A11" i="23"/>
  <c r="A11" i="17"/>
  <c r="A11" i="20"/>
  <c r="A11" i="18"/>
  <c r="A11" i="22"/>
  <c r="A11" i="16"/>
  <c r="A11" i="19"/>
  <c r="A17" i="17"/>
  <c r="A17" i="18"/>
  <c r="F17" i="9"/>
  <c r="G17" i="9"/>
  <c r="M17" i="9"/>
  <c r="Q13" i="9"/>
  <c r="L17" i="9"/>
  <c r="O15" i="8"/>
  <c r="K17" i="8"/>
  <c r="O17" i="8"/>
  <c r="O15" i="7"/>
  <c r="F17" i="7"/>
  <c r="Q13" i="6"/>
  <c r="Q15" i="6"/>
  <c r="Q13" i="24"/>
  <c r="O15" i="24"/>
  <c r="Q15" i="5"/>
  <c r="H17" i="5"/>
  <c r="Q15" i="3"/>
  <c r="E18" i="12"/>
  <c r="K13" i="12"/>
  <c r="K30" i="12"/>
  <c r="K15" i="12"/>
  <c r="K10" i="12"/>
  <c r="O15" i="2"/>
  <c r="M17" i="2"/>
  <c r="Q13" i="2"/>
  <c r="D18" i="12"/>
  <c r="K16" i="12"/>
  <c r="K14" i="12"/>
  <c r="N16" i="12"/>
  <c r="K12" i="12"/>
  <c r="H18" i="12"/>
  <c r="N11" i="12"/>
  <c r="K34" i="12"/>
  <c r="C9" i="20"/>
  <c r="K9" i="20" s="1"/>
  <c r="L9" i="20" s="1"/>
  <c r="M9" i="20" s="1"/>
  <c r="K9" i="16"/>
  <c r="L9" i="16" s="1"/>
  <c r="M9" i="16" s="1"/>
  <c r="K11" i="23"/>
  <c r="L11" i="23" s="1"/>
  <c r="M11" i="23" s="1"/>
  <c r="K9" i="23"/>
  <c r="L9" i="23" s="1"/>
  <c r="M9" i="23" s="1"/>
  <c r="K9" i="17"/>
  <c r="L9" i="17" s="1"/>
  <c r="M9" i="17" s="1"/>
  <c r="K9" i="21"/>
  <c r="L9" i="21" s="1"/>
  <c r="M9" i="21" s="1"/>
  <c r="K9" i="12"/>
  <c r="N15" i="12"/>
  <c r="P9" i="21"/>
  <c r="Q9" i="21" s="1"/>
  <c r="R9" i="21" s="1"/>
  <c r="P9" i="17"/>
  <c r="Q9" i="17" s="1"/>
  <c r="R9" i="17" s="1"/>
  <c r="K11" i="12"/>
  <c r="F18" i="12"/>
  <c r="N8" i="12"/>
  <c r="C11" i="19"/>
  <c r="K11" i="19" s="1"/>
  <c r="L11" i="19" s="1"/>
  <c r="M11" i="19" s="1"/>
  <c r="I18" i="12"/>
  <c r="H36" i="12"/>
  <c r="D9" i="15"/>
  <c r="P9" i="15" s="1"/>
  <c r="Q9" i="15" s="1"/>
  <c r="R9" i="15" s="1"/>
  <c r="E9" i="19"/>
  <c r="K9" i="19" s="1"/>
  <c r="L9" i="19" s="1"/>
  <c r="M9" i="19" s="1"/>
  <c r="C9" i="22"/>
  <c r="H9" i="18"/>
  <c r="P9" i="18" s="1"/>
  <c r="Q9" i="18" s="1"/>
  <c r="R9" i="18" s="1"/>
  <c r="C11" i="16"/>
  <c r="D11" i="18"/>
  <c r="P9" i="16"/>
  <c r="Q9" i="16" s="1"/>
  <c r="R9" i="16" s="1"/>
  <c r="N13" i="12"/>
  <c r="K8" i="12"/>
  <c r="D11" i="15"/>
  <c r="C18" i="12"/>
  <c r="N34" i="12"/>
  <c r="M32" i="12"/>
  <c r="N14" i="12"/>
  <c r="M30" i="12"/>
  <c r="N30" i="12" s="1"/>
  <c r="N12" i="12"/>
  <c r="G17" i="6"/>
  <c r="G17" i="4"/>
  <c r="L17" i="4"/>
  <c r="G17" i="7"/>
  <c r="O9" i="20"/>
  <c r="M10" i="12"/>
  <c r="G17" i="24"/>
  <c r="N17" i="24"/>
  <c r="N17" i="6"/>
  <c r="G17" i="8"/>
  <c r="M9" i="12"/>
  <c r="G17" i="2"/>
  <c r="G17" i="3"/>
  <c r="N17" i="7"/>
  <c r="L17" i="8"/>
  <c r="L17" i="7"/>
  <c r="H17" i="8"/>
  <c r="H17" i="24"/>
  <c r="G17" i="5"/>
  <c r="L17" i="6"/>
  <c r="K17" i="7"/>
  <c r="Q14" i="14"/>
  <c r="L17" i="2"/>
  <c r="L17" i="24"/>
  <c r="L17" i="3"/>
  <c r="H17" i="6"/>
  <c r="O11" i="16"/>
  <c r="O9" i="23"/>
  <c r="P9" i="23" s="1"/>
  <c r="Q9" i="23" s="1"/>
  <c r="R9" i="23" s="1"/>
  <c r="N17" i="2"/>
  <c r="F17" i="5"/>
  <c r="L17" i="5"/>
  <c r="O11" i="17"/>
  <c r="P11" i="17" s="1"/>
  <c r="Q11" i="17" s="1"/>
  <c r="R11" i="17" s="1"/>
  <c r="F36" i="12" l="1"/>
  <c r="E36" i="12"/>
  <c r="P11" i="22"/>
  <c r="Q11" i="22" s="1"/>
  <c r="R11" i="22" s="1"/>
  <c r="N33" i="12"/>
  <c r="N31" i="12"/>
  <c r="C36" i="12"/>
  <c r="N26" i="12"/>
  <c r="N29" i="12"/>
  <c r="D36" i="12"/>
  <c r="P11" i="15"/>
  <c r="Q11" i="15" s="1"/>
  <c r="R11" i="15" s="1"/>
  <c r="K11" i="16"/>
  <c r="L11" i="16" s="1"/>
  <c r="M11" i="16" s="1"/>
  <c r="K28" i="12"/>
  <c r="I36" i="12"/>
  <c r="K26" i="12"/>
  <c r="K11" i="15" s="1"/>
  <c r="L11" i="15" s="1"/>
  <c r="M11" i="15" s="1"/>
  <c r="K31" i="12"/>
  <c r="K33" i="12"/>
  <c r="N32" i="12"/>
  <c r="K32" i="12"/>
  <c r="K27" i="12"/>
  <c r="P11" i="16"/>
  <c r="Q11" i="16" s="1"/>
  <c r="R11" i="16" s="1"/>
  <c r="P9" i="20"/>
  <c r="Q9" i="20" s="1"/>
  <c r="R9" i="20" s="1"/>
  <c r="P11" i="18"/>
  <c r="Q11" i="18" s="1"/>
  <c r="R11" i="18" s="1"/>
  <c r="P9" i="19"/>
  <c r="Q9" i="19" s="1"/>
  <c r="R9" i="19" s="1"/>
  <c r="P11" i="20"/>
  <c r="Q11" i="20" s="1"/>
  <c r="R11" i="20" s="1"/>
  <c r="K11" i="21"/>
  <c r="L11" i="21" s="1"/>
  <c r="M11" i="21" s="1"/>
  <c r="K11" i="18"/>
  <c r="L11" i="18" s="1"/>
  <c r="M11" i="18" s="1"/>
  <c r="P11" i="19"/>
  <c r="Q11" i="19" s="1"/>
  <c r="R11" i="19" s="1"/>
  <c r="K18" i="12"/>
  <c r="K9" i="15"/>
  <c r="L9" i="15" s="1"/>
  <c r="M9" i="15" s="1"/>
  <c r="K9" i="18"/>
  <c r="L9" i="18" s="1"/>
  <c r="M9" i="18" s="1"/>
  <c r="K9" i="22"/>
  <c r="L9" i="22" s="1"/>
  <c r="M9" i="22" s="1"/>
  <c r="P9" i="22"/>
  <c r="Q9" i="22" s="1"/>
  <c r="R9" i="22" s="1"/>
  <c r="M27" i="12"/>
  <c r="N9" i="12"/>
  <c r="Q17" i="6"/>
  <c r="Q17" i="9"/>
  <c r="Q17" i="4"/>
  <c r="Q17" i="7"/>
  <c r="Q17" i="24"/>
  <c r="Q17" i="2"/>
  <c r="Q17" i="3"/>
  <c r="Q17" i="8"/>
  <c r="Q17" i="5"/>
  <c r="M28" i="12"/>
  <c r="N28" i="12" s="1"/>
  <c r="N10" i="12"/>
  <c r="M18" i="12"/>
  <c r="K36" i="12" l="1"/>
  <c r="O16" i="7"/>
  <c r="O16" i="3"/>
  <c r="O16" i="5"/>
  <c r="O16" i="24"/>
  <c r="O16" i="8"/>
  <c r="O16" i="9"/>
  <c r="O16" i="4"/>
  <c r="O16" i="6"/>
  <c r="O16" i="2"/>
  <c r="N18" i="12"/>
  <c r="N27" i="12"/>
  <c r="N36" i="12" s="1"/>
  <c r="M36" i="12"/>
</calcChain>
</file>

<file path=xl/sharedStrings.xml><?xml version="1.0" encoding="utf-8"?>
<sst xmlns="http://schemas.openxmlformats.org/spreadsheetml/2006/main" count="285" uniqueCount="86">
  <si>
    <t>Obs</t>
  </si>
  <si>
    <t>_TYPE_</t>
  </si>
  <si>
    <t>_FREQ_</t>
  </si>
  <si>
    <t>L441_b</t>
  </si>
  <si>
    <t>L446_b</t>
  </si>
  <si>
    <t>L452_b</t>
  </si>
  <si>
    <t>L455_b</t>
  </si>
  <si>
    <t>L458_b</t>
  </si>
  <si>
    <t>L466_b</t>
  </si>
  <si>
    <t>L474_b</t>
  </si>
  <si>
    <t>L515_B</t>
  </si>
  <si>
    <t>L306_B</t>
  </si>
  <si>
    <t>L450_b</t>
  </si>
  <si>
    <t>AEA</t>
  </si>
  <si>
    <t>AEA_Name</t>
  </si>
  <si>
    <t>NORTHWEST AEA</t>
  </si>
  <si>
    <t>Special Education Support</t>
  </si>
  <si>
    <t>Special Education Support Adj.</t>
  </si>
  <si>
    <t>Media Services</t>
  </si>
  <si>
    <t>Ed. Services</t>
  </si>
  <si>
    <t>Sharing</t>
  </si>
  <si>
    <t>Professional Development Supp.</t>
  </si>
  <si>
    <t>Teacher Salary Supp.</t>
  </si>
  <si>
    <t>State Aid Reduction To AEAs</t>
  </si>
  <si>
    <t>Total School Aid Funding</t>
  </si>
  <si>
    <t>Total AEAs</t>
  </si>
  <si>
    <t>Select Rate Here===&gt;</t>
  </si>
  <si>
    <t>Comparison:</t>
  </si>
  <si>
    <t>SSA Rate</t>
  </si>
  <si>
    <t>Sources:</t>
  </si>
  <si>
    <t>Back to Main Tab</t>
  </si>
  <si>
    <t>Click on specific AEA links to additional information on individual AEAs.</t>
  </si>
  <si>
    <t>State Aid Reduction Maintained at Prev. Year Level</t>
  </si>
  <si>
    <t>Base Year Data</t>
  </si>
  <si>
    <t>Assumed State Aid Reduction</t>
  </si>
  <si>
    <t>Use the most current school aid program and then run this language:</t>
  </si>
  <si>
    <t>proc sort; by aea;</t>
  </si>
  <si>
    <t>run;</t>
  </si>
  <si>
    <t>proc summary; var l441_b l446_b l452_b l455_b l458_b l466_b l474_b l515_b l306_b l450_b; by aea;</t>
  </si>
  <si>
    <t>output out=aea_pull1 sum=;</t>
  </si>
  <si>
    <t>proc print data=aea_pull1;</t>
  </si>
  <si>
    <t>*****BAse Year data Pull;</t>
  </si>
  <si>
    <t>proc summary; var l441_a l446_a l452_a l455_a l458_a l466_a l474_a l515_a l306_a l450_a; by aea;</t>
  </si>
  <si>
    <t>l441_a</t>
  </si>
  <si>
    <t>L446_A</t>
  </si>
  <si>
    <t>L452_a</t>
  </si>
  <si>
    <t>L455_a</t>
  </si>
  <si>
    <t>L458_a</t>
  </si>
  <si>
    <t>L466_a</t>
  </si>
  <si>
    <t>L474_a</t>
  </si>
  <si>
    <t>L515_a</t>
  </si>
  <si>
    <t>L306_a</t>
  </si>
  <si>
    <t>L450_A</t>
  </si>
  <si>
    <t>output out=aea_pull_base sum=;</t>
  </si>
  <si>
    <t>proc print data=aea_pull_base;</t>
  </si>
  <si>
    <t>KEYSTONE AEA</t>
  </si>
  <si>
    <t>PRAIRIE LAKES AEA</t>
  </si>
  <si>
    <t>Central Rivers AEA</t>
  </si>
  <si>
    <t>MISSISSIPPI BEND AEA</t>
  </si>
  <si>
    <t>GRANT WOOD AEA</t>
  </si>
  <si>
    <t>HEARTLAND AEA</t>
  </si>
  <si>
    <t>GREEN HILLS AEA</t>
  </si>
  <si>
    <t>GREAT PRAIRIE AEA</t>
  </si>
  <si>
    <t>Change from Prior Year</t>
  </si>
  <si>
    <t>data aea_pull_fy23;</t>
  </si>
  <si>
    <t>set fy23a;</t>
  </si>
  <si>
    <t>Sharing*</t>
  </si>
  <si>
    <t>*Estimates are preliminary and subject to change.</t>
  </si>
  <si>
    <t>Last Updated 1/3/2023</t>
  </si>
  <si>
    <t>data aea_pull_fy24;</t>
  </si>
  <si>
    <t>version 4.3</t>
  </si>
  <si>
    <t>set fy24a;</t>
  </si>
  <si>
    <t>Pulled 1/3/2023</t>
  </si>
  <si>
    <t>Updated 1/3/2023</t>
  </si>
  <si>
    <t>IASB:  Estimated FY 2024 Supplemental State Aid Funding to Area Education Agencies</t>
  </si>
  <si>
    <t>FY 2024 Amounts By AEA at Selected SSA Rate</t>
  </si>
  <si>
    <t>IASB estimates as of January 3, 2023, and are subject to change.</t>
  </si>
  <si>
    <t>Copyright 2023 - Iowa Association of School Boards</t>
  </si>
  <si>
    <t>Iowa Department of Management, School Aid file and IASB estimates (based on IASB_Schlaid_FY23_FY28_v4.3.sas).</t>
  </si>
  <si>
    <t>Iowa Association of School Boards:  Supplemental State Aid Funding for Area Education Agencies FY 2023 and Estimated FY 2024</t>
  </si>
  <si>
    <t>FY 2023</t>
  </si>
  <si>
    <t>Est. FY 2024</t>
  </si>
  <si>
    <t>If State Aid Reduction = FY 2023 Level</t>
  </si>
  <si>
    <t>Change Compared to FY 2023</t>
  </si>
  <si>
    <t>% Change Compared to FY 2023</t>
  </si>
  <si>
    <t>Matching Prior FY Reduction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</si>
</sst>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1C1C1"/>
      </top>
      <bottom/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164" fontId="1" fillId="0" borderId="0" xfId="2" applyNumberFormat="1" applyFont="1"/>
    <xf numFmtId="165" fontId="1" fillId="0" borderId="0" xfId="4" applyNumberFormat="1" applyFont="1"/>
    <xf numFmtId="10" fontId="1" fillId="0" borderId="0" xfId="4" applyNumberFormat="1" applyFon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0" fillId="2" borderId="0" xfId="0" applyFill="1"/>
    <xf numFmtId="0" fontId="0" fillId="0" borderId="0" xfId="0" applyAlignment="1">
      <alignment horizontal="left"/>
    </xf>
    <xf numFmtId="164" fontId="1" fillId="2" borderId="0" xfId="2" applyNumberFormat="1" applyFont="1" applyFill="1"/>
    <xf numFmtId="0" fontId="6" fillId="0" borderId="0" xfId="0" applyFont="1" applyAlignment="1">
      <alignment horizontal="center" vertical="top" wrapText="1"/>
    </xf>
    <xf numFmtId="10" fontId="3" fillId="3" borderId="0" xfId="0" applyNumberFormat="1" applyFont="1" applyFill="1"/>
    <xf numFmtId="0" fontId="3" fillId="2" borderId="0" xfId="0" applyFont="1" applyFill="1" applyAlignment="1">
      <alignment horizontal="center" wrapText="1"/>
    </xf>
    <xf numFmtId="165" fontId="1" fillId="2" borderId="0" xfId="4" applyNumberFormat="1" applyFont="1" applyFill="1"/>
    <xf numFmtId="164" fontId="3" fillId="2" borderId="0" xfId="2" applyNumberFormat="1" applyFont="1" applyFill="1"/>
    <xf numFmtId="164" fontId="3" fillId="2" borderId="0" xfId="0" applyNumberFormat="1" applyFont="1" applyFill="1"/>
    <xf numFmtId="165" fontId="3" fillId="2" borderId="0" xfId="4" applyNumberFormat="1" applyFont="1" applyFill="1"/>
    <xf numFmtId="0" fontId="9" fillId="0" borderId="0" xfId="0" applyFont="1" applyAlignment="1">
      <alignment horizontal="left"/>
    </xf>
    <xf numFmtId="0" fontId="2" fillId="0" borderId="0" xfId="3" applyAlignment="1">
      <alignment horizontal="center"/>
    </xf>
    <xf numFmtId="0" fontId="2" fillId="2" borderId="0" xfId="3" applyFill="1" applyAlignment="1">
      <alignment horizontal="center"/>
    </xf>
    <xf numFmtId="10" fontId="8" fillId="3" borderId="1" xfId="4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1" fillId="0" borderId="2" xfId="2" applyNumberFormat="1" applyFont="1" applyBorder="1"/>
    <xf numFmtId="164" fontId="1" fillId="0" borderId="3" xfId="2" applyNumberFormat="1" applyFont="1" applyBorder="1"/>
    <xf numFmtId="164" fontId="1" fillId="2" borderId="2" xfId="2" applyNumberFormat="1" applyFont="1" applyFill="1" applyBorder="1"/>
    <xf numFmtId="164" fontId="1" fillId="2" borderId="3" xfId="2" applyNumberFormat="1" applyFont="1" applyFill="1" applyBorder="1"/>
    <xf numFmtId="164" fontId="3" fillId="0" borderId="4" xfId="2" applyNumberFormat="1" applyFont="1" applyBorder="1"/>
    <xf numFmtId="164" fontId="3" fillId="0" borderId="5" xfId="2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66" fontId="1" fillId="0" borderId="0" xfId="1" applyNumberFormat="1" applyFont="1"/>
    <xf numFmtId="0" fontId="4" fillId="3" borderId="0" xfId="0" applyFont="1" applyFill="1"/>
    <xf numFmtId="0" fontId="3" fillId="4" borderId="0" xfId="0" applyFont="1" applyFill="1" applyAlignment="1">
      <alignment horizontal="center" wrapText="1"/>
    </xf>
    <xf numFmtId="0" fontId="0" fillId="4" borderId="0" xfId="0" applyFill="1"/>
    <xf numFmtId="165" fontId="3" fillId="4" borderId="0" xfId="4" applyNumberFormat="1" applyFont="1" applyFill="1"/>
    <xf numFmtId="165" fontId="1" fillId="4" borderId="0" xfId="4" applyNumberFormat="1" applyFont="1" applyFill="1"/>
    <xf numFmtId="164" fontId="3" fillId="4" borderId="0" xfId="0" applyNumberFormat="1" applyFont="1" applyFill="1"/>
    <xf numFmtId="0" fontId="3" fillId="4" borderId="0" xfId="0" applyFont="1" applyFill="1"/>
    <xf numFmtId="0" fontId="11" fillId="0" borderId="0" xfId="0" applyFont="1"/>
    <xf numFmtId="0" fontId="12" fillId="0" borderId="0" xfId="0" applyFont="1"/>
    <xf numFmtId="164" fontId="11" fillId="0" borderId="0" xfId="2" applyNumberFormat="1" applyFont="1"/>
    <xf numFmtId="0" fontId="0" fillId="0" borderId="0" xfId="0" applyAlignment="1">
      <alignment horizontal="right"/>
    </xf>
    <xf numFmtId="0" fontId="13" fillId="0" borderId="0" xfId="0" applyFont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2" fillId="0" borderId="0" xfId="3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1</xdr:row>
      <xdr:rowOff>95250</xdr:rowOff>
    </xdr:from>
    <xdr:to>
      <xdr:col>10</xdr:col>
      <xdr:colOff>419100</xdr:colOff>
      <xdr:row>5</xdr:row>
      <xdr:rowOff>76200</xdr:rowOff>
    </xdr:to>
    <xdr:pic>
      <xdr:nvPicPr>
        <xdr:cNvPr id="1045" name="Picture 2" descr="Combined_Digital.jpg">
          <a:extLst>
            <a:ext uri="{FF2B5EF4-FFF2-40B4-BE49-F238E27FC236}">
              <a16:creationId xmlns:a16="http://schemas.microsoft.com/office/drawing/2014/main" id="{0839833B-4525-3616-9AC2-B00A870F4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61950"/>
          <a:ext cx="1009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114300</xdr:rowOff>
    </xdr:from>
    <xdr:to>
      <xdr:col>1</xdr:col>
      <xdr:colOff>409575</xdr:colOff>
      <xdr:row>4</xdr:row>
      <xdr:rowOff>76200</xdr:rowOff>
    </xdr:to>
    <xdr:pic>
      <xdr:nvPicPr>
        <xdr:cNvPr id="10258" name="Picture 2" descr="Combined_Digital.jpg">
          <a:extLst>
            <a:ext uri="{FF2B5EF4-FFF2-40B4-BE49-F238E27FC236}">
              <a16:creationId xmlns:a16="http://schemas.microsoft.com/office/drawing/2014/main" id="{5135A696-004D-C549-5589-F0D53271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4300"/>
          <a:ext cx="914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1</xdr:col>
      <xdr:colOff>447675</xdr:colOff>
      <xdr:row>4</xdr:row>
      <xdr:rowOff>114300</xdr:rowOff>
    </xdr:to>
    <xdr:pic>
      <xdr:nvPicPr>
        <xdr:cNvPr id="2066" name="Picture 3" descr="Combined_Digital.jpg">
          <a:extLst>
            <a:ext uri="{FF2B5EF4-FFF2-40B4-BE49-F238E27FC236}">
              <a16:creationId xmlns:a16="http://schemas.microsoft.com/office/drawing/2014/main" id="{C899CECC-F8FA-C60F-DE41-E0F977FC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1</xdr:col>
      <xdr:colOff>361950</xdr:colOff>
      <xdr:row>4</xdr:row>
      <xdr:rowOff>114300</xdr:rowOff>
    </xdr:to>
    <xdr:pic>
      <xdr:nvPicPr>
        <xdr:cNvPr id="3090" name="Picture 2" descr="Combined_Digital.jpg">
          <a:extLst>
            <a:ext uri="{FF2B5EF4-FFF2-40B4-BE49-F238E27FC236}">
              <a16:creationId xmlns:a16="http://schemas.microsoft.com/office/drawing/2014/main" id="{51193324-6B99-5339-39AE-6585B1A2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019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28575</xdr:rowOff>
    </xdr:from>
    <xdr:to>
      <xdr:col>1</xdr:col>
      <xdr:colOff>438150</xdr:colOff>
      <xdr:row>4</xdr:row>
      <xdr:rowOff>266700</xdr:rowOff>
    </xdr:to>
    <xdr:pic>
      <xdr:nvPicPr>
        <xdr:cNvPr id="4114" name="Picture 2" descr="Combined_Digital.jpg">
          <a:extLst>
            <a:ext uri="{FF2B5EF4-FFF2-40B4-BE49-F238E27FC236}">
              <a16:creationId xmlns:a16="http://schemas.microsoft.com/office/drawing/2014/main" id="{47696F96-B96F-B271-B94D-63ECCB66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28600"/>
          <a:ext cx="10096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57150</xdr:rowOff>
    </xdr:from>
    <xdr:to>
      <xdr:col>1</xdr:col>
      <xdr:colOff>466725</xdr:colOff>
      <xdr:row>4</xdr:row>
      <xdr:rowOff>295275</xdr:rowOff>
    </xdr:to>
    <xdr:pic>
      <xdr:nvPicPr>
        <xdr:cNvPr id="5138" name="Picture 2" descr="Combined_Digital.jpg">
          <a:extLst>
            <a:ext uri="{FF2B5EF4-FFF2-40B4-BE49-F238E27FC236}">
              <a16:creationId xmlns:a16="http://schemas.microsoft.com/office/drawing/2014/main" id="{4CEFAA85-282B-842E-1401-AE3D4FB2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57175"/>
          <a:ext cx="10096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85725</xdr:rowOff>
    </xdr:from>
    <xdr:to>
      <xdr:col>1</xdr:col>
      <xdr:colOff>171450</xdr:colOff>
      <xdr:row>4</xdr:row>
      <xdr:rowOff>104775</xdr:rowOff>
    </xdr:to>
    <xdr:pic>
      <xdr:nvPicPr>
        <xdr:cNvPr id="6162" name="Picture 2" descr="Combined_Digital.jpg">
          <a:extLst>
            <a:ext uri="{FF2B5EF4-FFF2-40B4-BE49-F238E27FC236}">
              <a16:creationId xmlns:a16="http://schemas.microsoft.com/office/drawing/2014/main" id="{75142CCC-4848-3803-2589-AF663666C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0"/>
          <a:ext cx="733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57150</xdr:rowOff>
    </xdr:from>
    <xdr:to>
      <xdr:col>1</xdr:col>
      <xdr:colOff>219075</xdr:colOff>
      <xdr:row>4</xdr:row>
      <xdr:rowOff>114300</xdr:rowOff>
    </xdr:to>
    <xdr:pic>
      <xdr:nvPicPr>
        <xdr:cNvPr id="7186" name="Picture 2" descr="Combined_Digital.jpg">
          <a:extLst>
            <a:ext uri="{FF2B5EF4-FFF2-40B4-BE49-F238E27FC236}">
              <a16:creationId xmlns:a16="http://schemas.microsoft.com/office/drawing/2014/main" id="{9BF0DCCA-C284-F716-1286-B5A4997F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57175"/>
          <a:ext cx="771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66675</xdr:rowOff>
    </xdr:from>
    <xdr:to>
      <xdr:col>1</xdr:col>
      <xdr:colOff>314325</xdr:colOff>
      <xdr:row>4</xdr:row>
      <xdr:rowOff>190500</xdr:rowOff>
    </xdr:to>
    <xdr:pic>
      <xdr:nvPicPr>
        <xdr:cNvPr id="8210" name="Picture 2" descr="Combined_Digital.jpg">
          <a:extLst>
            <a:ext uri="{FF2B5EF4-FFF2-40B4-BE49-F238E27FC236}">
              <a16:creationId xmlns:a16="http://schemas.microsoft.com/office/drawing/2014/main" id="{605BA315-E961-C507-E4FC-35B6EFE0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6700"/>
          <a:ext cx="857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447675</xdr:colOff>
      <xdr:row>4</xdr:row>
      <xdr:rowOff>171450</xdr:rowOff>
    </xdr:to>
    <xdr:pic>
      <xdr:nvPicPr>
        <xdr:cNvPr id="9234" name="Picture 2" descr="Combined_Digital.jpg">
          <a:extLst>
            <a:ext uri="{FF2B5EF4-FFF2-40B4-BE49-F238E27FC236}">
              <a16:creationId xmlns:a16="http://schemas.microsoft.com/office/drawing/2014/main" id="{0017A167-00D9-2F66-8115-7FCA06FD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0096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topLeftCell="B1" workbookViewId="0">
      <selection activeCell="C23" sqref="C23"/>
    </sheetView>
  </sheetViews>
  <sheetFormatPr defaultRowHeight="15" x14ac:dyDescent="0.25"/>
  <cols>
    <col min="1" max="1" width="7.5703125" hidden="1" customWidth="1"/>
    <col min="2" max="2" width="21.28515625" customWidth="1"/>
    <col min="3" max="3" width="13.5703125" bestFit="1" customWidth="1"/>
    <col min="4" max="4" width="11.42578125" bestFit="1" customWidth="1"/>
    <col min="5" max="6" width="14.7109375" bestFit="1" customWidth="1"/>
    <col min="7" max="7" width="11.140625" bestFit="1" customWidth="1"/>
    <col min="8" max="8" width="12.42578125" bestFit="1" customWidth="1"/>
    <col min="9" max="9" width="15.5703125" customWidth="1"/>
    <col min="10" max="10" width="15.42578125" customWidth="1"/>
    <col min="11" max="11" width="13.5703125" bestFit="1" customWidth="1"/>
    <col min="12" max="12" width="2" customWidth="1"/>
    <col min="13" max="13" width="17.5703125" customWidth="1"/>
    <col min="14" max="14" width="14.5703125" customWidth="1"/>
    <col min="15" max="15" width="8.85546875" customWidth="1"/>
    <col min="16" max="16" width="6" hidden="1" customWidth="1"/>
    <col min="17" max="17" width="5" hidden="1" customWidth="1"/>
    <col min="18" max="19" width="8.85546875" customWidth="1"/>
  </cols>
  <sheetData>
    <row r="1" spans="1:17" ht="21" x14ac:dyDescent="0.35">
      <c r="B1" s="59" t="s">
        <v>74</v>
      </c>
      <c r="C1" s="59"/>
      <c r="D1" s="59"/>
      <c r="E1" s="59"/>
      <c r="F1" s="59"/>
      <c r="G1" s="59"/>
      <c r="H1" s="59"/>
      <c r="I1" s="59"/>
      <c r="J1" s="59"/>
      <c r="K1" s="59"/>
    </row>
    <row r="3" spans="1:17" x14ac:dyDescent="0.25">
      <c r="B3" t="s">
        <v>31</v>
      </c>
    </row>
    <row r="4" spans="1:17" ht="15.75" thickBot="1" x14ac:dyDescent="0.3"/>
    <row r="5" spans="1:17" ht="19.5" thickBot="1" x14ac:dyDescent="0.35">
      <c r="B5" s="14" t="s">
        <v>26</v>
      </c>
      <c r="C5" s="28">
        <v>2.5000000000000001E-2</v>
      </c>
      <c r="D5" s="12" t="s">
        <v>75</v>
      </c>
      <c r="M5" s="60" t="s">
        <v>85</v>
      </c>
      <c r="N5" s="61"/>
    </row>
    <row r="6" spans="1:17" ht="7.9" customHeight="1" x14ac:dyDescent="0.25">
      <c r="M6" s="31"/>
      <c r="N6" s="32"/>
    </row>
    <row r="7" spans="1:17" s="8" customFormat="1" ht="57" customHeight="1" x14ac:dyDescent="0.25">
      <c r="B7" s="8" t="s">
        <v>13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66</v>
      </c>
      <c r="H7" s="8" t="s">
        <v>22</v>
      </c>
      <c r="I7" s="8" t="s">
        <v>21</v>
      </c>
      <c r="J7" s="8" t="s">
        <v>23</v>
      </c>
      <c r="K7" s="8" t="s">
        <v>24</v>
      </c>
      <c r="M7" s="33" t="s">
        <v>32</v>
      </c>
      <c r="N7" s="34" t="s">
        <v>24</v>
      </c>
    </row>
    <row r="8" spans="1:17" x14ac:dyDescent="0.25">
      <c r="A8" s="47">
        <f>CHOOSE($Q$19,FYXX_0!C3,FYXX_.05!C3,FYXX_1!C3,FYXX_1.5!C3,FYXX_2.0!C3,FYXX_2.5!C3,FYXX_3!C3,FYXX_3.5!C3,FYXX_4!C3,#REF!)</f>
        <v>1</v>
      </c>
      <c r="B8" s="26" t="str">
        <f>VLOOKUP(A8,AEA_Names!$A$4:$B$12,2,FALSE)</f>
        <v>KEYSTONE AEA</v>
      </c>
      <c r="C8" s="3">
        <f>CHOOSE($Q$19,FYXX_0!F3,FYXX_.05!F3,FYXX_1!F3,FYXX_1.5!F3,FYXX_2.0!F3,FYXX_2.5!F3,FYXX_3!F3,FYXX_3.5!F3,FYXX_4!F3,#REF!,#REF!)</f>
        <v>11164012</v>
      </c>
      <c r="D8" s="3">
        <f>CHOOSE($Q$19,FYXX_0!G3,FYXX_.05!G3,FYXX_1!G3,FYXX_1.5!G3,FYXX_2.0!G3,FYXX_2.5!G3,FYXX_3!G3,FYXX_3.5!G3,FYXX_4!G3,#REF!,#REF!)</f>
        <v>13589</v>
      </c>
      <c r="E8" s="3">
        <f>CHOOSE($Q$19,FYXX_0!H3,FYXX_.05!H3,FYXX_1!H3,FYXX_1.5!H3,FYXX_2.0!H3,FYXX_2.5!H3,FYXX_3!H3,FYXX_3.5!H3,FYXX_4!H3,#REF!,#REF!)</f>
        <v>1959896</v>
      </c>
      <c r="F8" s="3">
        <f>CHOOSE($Q$19,FYXX_0!I3,FYXX_.05!I3,FYXX_1!I3,FYXX_1.5!I3,FYXX_2.0!I3,FYXX_2.5!I3,FYXX_3!I3,FYXX_3.5!I3,FYXX_4!I3,#REF!,#REF!)</f>
        <v>2183512</v>
      </c>
      <c r="G8" s="3">
        <v>30000</v>
      </c>
      <c r="H8" s="3">
        <f>CHOOSE($Q$19,FYXX_0!K3,FYXX_.05!K3,FYXX_1!K3,FYXX_1.5!K3,FYXX_2.0!K3,FYXX_2.5!K3,FYXX_3!K3,FYXX_3.5!K3,FYXX_4!K3,#REF!,#REF!)</f>
        <v>1105209</v>
      </c>
      <c r="I8" s="3">
        <f>CHOOSE($Q$19,FYXX_0!L3,FYXX_.05!L3,FYXX_1!L3,FYXX_1.5!L3,FYXX_2.0!L3,FYXX_2.5!L3,FYXX_3!L3,FYXX_3.5!L3,FYXX_4!L3,#REF!,#REF!)</f>
        <v>119857</v>
      </c>
      <c r="J8" s="3">
        <v>-537076</v>
      </c>
      <c r="K8" s="3">
        <f>SUM(C8:J8)</f>
        <v>16038999</v>
      </c>
      <c r="M8" s="35">
        <f>Keystone!J7</f>
        <v>-1713114</v>
      </c>
      <c r="N8" s="36">
        <f>C8+D8+E8+F8+G8+H8+I8+M8</f>
        <v>14862961</v>
      </c>
      <c r="P8" s="5">
        <v>0</v>
      </c>
      <c r="Q8">
        <v>1</v>
      </c>
    </row>
    <row r="9" spans="1:17" x14ac:dyDescent="0.25">
      <c r="A9" s="47">
        <f>CHOOSE($Q$19,FYXX_0!C4,FYXX_.05!C4,FYXX_1!C4,FYXX_1.5!C4,FYXX_2.0!C4,FYXX_2.5!C4,FYXX_3!C4,FYXX_3.5!C4,FYXX_4!C4,#REF!)</f>
        <v>5</v>
      </c>
      <c r="B9" s="26" t="str">
        <f>VLOOKUP(A9,AEA_Names!$A$4:$B$12,2,FALSE)</f>
        <v>PRAIRIE LAKES AEA</v>
      </c>
      <c r="C9" s="3">
        <f>CHOOSE($Q$19,FYXX_0!F4,FYXX_.05!F4,FYXX_1!F4,FYXX_1.5!F4,FYXX_2.0!F4,FYXX_2.5!F4,FYXX_3!F4,FYXX_3.5!F4,FYXX_4!F4,#REF!,#REF!)</f>
        <v>11678523</v>
      </c>
      <c r="D9" s="3">
        <f>CHOOSE($Q$19,FYXX_0!G4,FYXX_.05!G4,FYXX_1!G4,FYXX_1.5!G4,FYXX_2.0!G4,FYXX_2.5!G4,FYXX_3!G4,FYXX_3.5!G4,FYXX_4!G4,#REF!,#REF!)</f>
        <v>95144</v>
      </c>
      <c r="E9" s="3">
        <f>CHOOSE($Q$19,FYXX_0!H4,FYXX_.05!H4,FYXX_1!H4,FYXX_1.5!H4,FYXX_2.0!H4,FYXX_2.5!H4,FYXX_3!H4,FYXX_3.5!H4,FYXX_4!H4,#REF!,#REF!)</f>
        <v>1990292</v>
      </c>
      <c r="F9" s="3">
        <f>CHOOSE($Q$19,FYXX_0!I4,FYXX_.05!I4,FYXX_1!I4,FYXX_1.5!I4,FYXX_2.0!I4,FYXX_2.5!I4,FYXX_3!I4,FYXX_3.5!I4,FYXX_4!I4,#REF!,#REF!)</f>
        <v>2229564</v>
      </c>
      <c r="G9" s="3">
        <v>0</v>
      </c>
      <c r="H9" s="3">
        <f>CHOOSE($Q$19,FYXX_0!K4,FYXX_.05!K4,FYXX_1!K4,FYXX_1.5!K4,FYXX_2.0!K4,FYXX_2.5!K4,FYXX_3!K4,FYXX_3.5!K4,FYXX_4!K4,#REF!,#REF!)</f>
        <v>1240021</v>
      </c>
      <c r="I9" s="3">
        <f>CHOOSE($Q$19,FYXX_0!L4,FYXX_.05!L4,FYXX_1!L4,FYXX_1.5!L4,FYXX_2.0!L4,FYXX_2.5!L4,FYXX_3!L4,FYXX_3.5!L4,FYXX_4!L4,#REF!,#REF!)</f>
        <v>147386</v>
      </c>
      <c r="J9" s="3">
        <v>-572744</v>
      </c>
      <c r="K9" s="3">
        <f t="shared" ref="K9:K16" si="0">SUM(C9:J9)</f>
        <v>16808186</v>
      </c>
      <c r="M9" s="35">
        <f>PrairieLakes!J7</f>
        <v>-1841660</v>
      </c>
      <c r="N9" s="36">
        <f t="shared" ref="N9:N16" si="1">C9+D9+E9+F9+G9+H9+I9+M9</f>
        <v>15539270</v>
      </c>
      <c r="P9" s="5">
        <v>5.0000000000000001E-3</v>
      </c>
      <c r="Q9">
        <v>2</v>
      </c>
    </row>
    <row r="10" spans="1:17" x14ac:dyDescent="0.25">
      <c r="A10" s="47">
        <f>CHOOSE($Q$19,FYXX_0!C5,FYXX_.05!C5,FYXX_1!C5,FYXX_1.5!C5,FYXX_2.0!C5,FYXX_2.5!C5,FYXX_3!C5,FYXX_3.5!C5,FYXX_4!C5,#REF!)</f>
        <v>7</v>
      </c>
      <c r="B10" s="27" t="str">
        <f>VLOOKUP(A10,AEA_Names!$A$4:$B$12,2,FALSE)</f>
        <v>Central Rivers AEA</v>
      </c>
      <c r="C10" s="17">
        <f>CHOOSE($Q$19,FYXX_0!F5,FYXX_.05!F5,FYXX_1!F5,FYXX_1.5!F5,FYXX_2.0!F5,FYXX_2.5!F5,FYXX_3!F5,FYXX_3.5!F5,FYXX_4!F5,#REF!,#REF!)</f>
        <v>23701413</v>
      </c>
      <c r="D10" s="17">
        <f>CHOOSE($Q$19,FYXX_0!G5,FYXX_.05!G5,FYXX_1!G5,FYXX_1.5!G5,FYXX_2.0!G5,FYXX_2.5!G5,FYXX_3!G5,FYXX_3.5!G5,FYXX_4!G5,#REF!,#REF!)</f>
        <v>137698</v>
      </c>
      <c r="E10" s="17">
        <f>CHOOSE($Q$19,FYXX_0!H5,FYXX_.05!H5,FYXX_1!H5,FYXX_1.5!H5,FYXX_2.0!H5,FYXX_2.5!H5,FYXX_3!H5,FYXX_3.5!H5,FYXX_4!H5,#REF!,#REF!)</f>
        <v>4002131</v>
      </c>
      <c r="F10" s="17">
        <f>CHOOSE($Q$19,FYXX_0!I5,FYXX_.05!I5,FYXX_1!I5,FYXX_1.5!I5,FYXX_2.0!I5,FYXX_2.5!I5,FYXX_3!I5,FYXX_3.5!I5,FYXX_4!I5,#REF!,#REF!)</f>
        <v>4462406</v>
      </c>
      <c r="G10" s="17">
        <v>30000</v>
      </c>
      <c r="H10" s="17">
        <f>CHOOSE($Q$19,FYXX_0!K5,FYXX_.05!K5,FYXX_1!K5,FYXX_1.5!K5,FYXX_2.0!K5,FYXX_2.5!K5,FYXX_3!K5,FYXX_3.5!K5,FYXX_4!K5,#REF!,#REF!)</f>
        <v>2936965</v>
      </c>
      <c r="I10" s="17">
        <f>CHOOSE($Q$19,FYXX_0!L5,FYXX_.05!L5,FYXX_1!L5,FYXX_1.5!L5,FYXX_2.0!L5,FYXX_2.5!L5,FYXX_3!L5,FYXX_3.5!L5,FYXX_4!L5,#REF!,#REF!)</f>
        <v>338001</v>
      </c>
      <c r="J10" s="17">
        <v>-1051119</v>
      </c>
      <c r="K10" s="17">
        <f t="shared" si="0"/>
        <v>34557495</v>
      </c>
      <c r="M10" s="37">
        <f>CentralRivers!J7</f>
        <v>-3478978</v>
      </c>
      <c r="N10" s="38">
        <f t="shared" si="1"/>
        <v>32129636</v>
      </c>
      <c r="P10" s="5">
        <v>0.01</v>
      </c>
      <c r="Q10">
        <v>3</v>
      </c>
    </row>
    <row r="11" spans="1:17" x14ac:dyDescent="0.25">
      <c r="A11" s="47">
        <f>CHOOSE($Q$19,FYXX_0!C6,FYXX_.05!C6,FYXX_1!C6,FYXX_1.5!C6,FYXX_2.0!C6,FYXX_2.5!C6,FYXX_3!C6,FYXX_3.5!C6,FYXX_4!C6,#REF!)</f>
        <v>9</v>
      </c>
      <c r="B11" s="26" t="str">
        <f>VLOOKUP(A11,AEA_Names!$A$4:$B$12,2,FALSE)</f>
        <v>MISSISSIPPI BEND AEA</v>
      </c>
      <c r="C11" s="3">
        <f>CHOOSE($Q$19,FYXX_0!F6,FYXX_.05!F6,FYXX_1!F6,FYXX_1.5!F6,FYXX_2.0!F6,FYXX_2.5!F6,FYXX_3!F6,FYXX_3.5!F6,FYXX_4!F6,#REF!,#REF!)</f>
        <v>17267265</v>
      </c>
      <c r="D11" s="3">
        <f>CHOOSE($Q$19,FYXX_0!G6,FYXX_.05!G6,FYXX_1!G6,FYXX_1.5!G6,FYXX_2.0!G6,FYXX_2.5!G6,FYXX_3!G6,FYXX_3.5!G6,FYXX_4!G6,#REF!,#REF!)</f>
        <v>138092</v>
      </c>
      <c r="E11" s="3">
        <f>CHOOSE($Q$19,FYXX_0!H6,FYXX_.05!H6,FYXX_1!H6,FYXX_1.5!H6,FYXX_2.0!H6,FYXX_2.5!H6,FYXX_3!H6,FYXX_3.5!H6,FYXX_4!H6,#REF!,#REF!)</f>
        <v>2974457</v>
      </c>
      <c r="F11" s="3">
        <f>CHOOSE($Q$19,FYXX_0!I6,FYXX_.05!I6,FYXX_1!I6,FYXX_1.5!I6,FYXX_2.0!I6,FYXX_2.5!I6,FYXX_3!I6,FYXX_3.5!I6,FYXX_4!I6,#REF!,#REF!)</f>
        <v>3250299</v>
      </c>
      <c r="G11" s="3">
        <v>0</v>
      </c>
      <c r="H11" s="3">
        <f>CHOOSE($Q$19,FYXX_0!K6,FYXX_.05!K6,FYXX_1!K6,FYXX_1.5!K6,FYXX_2.0!K6,FYXX_2.5!K6,FYXX_3!K6,FYXX_3.5!K6,FYXX_4!K6,#REF!,#REF!)</f>
        <v>1586335</v>
      </c>
      <c r="I11" s="3">
        <f>CHOOSE($Q$19,FYXX_0!L6,FYXX_.05!L6,FYXX_1!L6,FYXX_1.5!L6,FYXX_2.0!L6,FYXX_2.5!L6,FYXX_3!L6,FYXX_3.5!L6,FYXX_4!L6,#REF!,#REF!)</f>
        <v>186100</v>
      </c>
      <c r="J11" s="3">
        <v>-767782</v>
      </c>
      <c r="K11" s="3">
        <f t="shared" si="0"/>
        <v>24634766</v>
      </c>
      <c r="M11" s="35">
        <f>Miss_Bend!J7</f>
        <v>-2473263</v>
      </c>
      <c r="N11" s="36">
        <f t="shared" si="1"/>
        <v>22929285</v>
      </c>
      <c r="P11" s="5">
        <v>1.4999999999999999E-2</v>
      </c>
      <c r="Q11">
        <v>4</v>
      </c>
    </row>
    <row r="12" spans="1:17" x14ac:dyDescent="0.25">
      <c r="A12" s="47">
        <f>CHOOSE($Q$19,FYXX_0!C7,FYXX_.05!C7,FYXX_1!C7,FYXX_1.5!C7,FYXX_2.0!C7,FYXX_2.5!C7,FYXX_3!C7,FYXX_3.5!C7,FYXX_4!C7,#REF!)</f>
        <v>10</v>
      </c>
      <c r="B12" s="26" t="str">
        <f>VLOOKUP(A12,AEA_Names!$A$4:$B$12,2,FALSE)</f>
        <v>GRANT WOOD AEA</v>
      </c>
      <c r="C12" s="3">
        <f>CHOOSE($Q$19,FYXX_0!F7,FYXX_.05!F7,FYXX_1!F7,FYXX_1.5!F7,FYXX_2.0!F7,FYXX_2.5!F7,FYXX_3!F7,FYXX_3.5!F7,FYXX_4!F7,#REF!,#REF!)</f>
        <v>25806392</v>
      </c>
      <c r="D12" s="3">
        <f>CHOOSE($Q$19,FYXX_0!G7,FYXX_.05!G7,FYXX_1!G7,FYXX_1.5!G7,FYXX_2.0!G7,FYXX_2.5!G7,FYXX_3!G7,FYXX_3.5!G7,FYXX_4!G7,#REF!,#REF!)</f>
        <v>94706</v>
      </c>
      <c r="E12" s="3">
        <f>CHOOSE($Q$19,FYXX_0!H7,FYXX_.05!H7,FYXX_1!H7,FYXX_1.5!H7,FYXX_2.0!H7,FYXX_2.5!H7,FYXX_3!H7,FYXX_3.5!H7,FYXX_4!H7,#REF!,#REF!)</f>
        <v>4558772</v>
      </c>
      <c r="F12" s="3">
        <f>CHOOSE($Q$19,FYXX_0!I7,FYXX_.05!I7,FYXX_1!I7,FYXX_1.5!I7,FYXX_2.0!I7,FYXX_2.5!I7,FYXX_3!I7,FYXX_3.5!I7,FYXX_4!I7,#REF!,#REF!)</f>
        <v>5011260</v>
      </c>
      <c r="G12" s="3">
        <v>30000</v>
      </c>
      <c r="H12" s="3">
        <f>CHOOSE($Q$19,FYXX_0!K7,FYXX_.05!K7,FYXX_1!K7,FYXX_1.5!K7,FYXX_2.0!K7,FYXX_2.5!K7,FYXX_3!K7,FYXX_3.5!K7,FYXX_4!K7,#REF!,#REF!)</f>
        <v>2444501</v>
      </c>
      <c r="I12" s="3">
        <f>CHOOSE($Q$19,FYXX_0!L7,FYXX_.05!L7,FYXX_1!L7,FYXX_1.5!L7,FYXX_2.0!L7,FYXX_2.5!L7,FYXX_3!L7,FYXX_3.5!L7,FYXX_4!L7,#REF!,#REF!)</f>
        <v>284588</v>
      </c>
      <c r="J12" s="3">
        <v>-963257</v>
      </c>
      <c r="K12" s="3">
        <f t="shared" si="0"/>
        <v>37266962</v>
      </c>
      <c r="M12" s="35">
        <f>GrantWood!J7</f>
        <v>-3182392</v>
      </c>
      <c r="N12" s="36">
        <f t="shared" si="1"/>
        <v>35047827</v>
      </c>
      <c r="P12" s="5">
        <v>0.02</v>
      </c>
      <c r="Q12">
        <v>5</v>
      </c>
    </row>
    <row r="13" spans="1:17" x14ac:dyDescent="0.25">
      <c r="A13" s="47">
        <f>CHOOSE($Q$19,FYXX_0!C8,FYXX_.05!C8,FYXX_1!C8,FYXX_1.5!C8,FYXX_2.0!C8,FYXX_2.5!C8,FYXX_3!C8,FYXX_3.5!C8,FYXX_4!C8,#REF!)</f>
        <v>11</v>
      </c>
      <c r="B13" s="27" t="str">
        <f>VLOOKUP(A13,AEA_Names!$A$4:$B$12,2,FALSE)</f>
        <v>HEARTLAND AEA</v>
      </c>
      <c r="C13" s="17">
        <f>CHOOSE($Q$19,FYXX_0!F8,FYXX_.05!F8,FYXX_1!F8,FYXX_1.5!F8,FYXX_2.0!F8,FYXX_2.5!F8,FYXX_3!F8,FYXX_3.5!F8,FYXX_4!F8,#REF!,#REF!)</f>
        <v>52288684</v>
      </c>
      <c r="D13" s="17">
        <f>CHOOSE($Q$19,FYXX_0!G8,FYXX_.05!G8,FYXX_1!G8,FYXX_1.5!G8,FYXX_2.0!G8,FYXX_2.5!G8,FYXX_3!G8,FYXX_3.5!G8,FYXX_4!G8,#REF!,#REF!)</f>
        <v>29469</v>
      </c>
      <c r="E13" s="17">
        <f>CHOOSE($Q$19,FYXX_0!H8,FYXX_.05!H8,FYXX_1!H8,FYXX_1.5!H8,FYXX_2.0!H8,FYXX_2.5!H8,FYXX_3!H8,FYXX_3.5!H8,FYXX_4!H8,#REF!,#REF!)</f>
        <v>9384481</v>
      </c>
      <c r="F13" s="17">
        <f>CHOOSE($Q$19,FYXX_0!I8,FYXX_.05!I8,FYXX_1!I8,FYXX_1.5!I8,FYXX_2.0!I8,FYXX_2.5!I8,FYXX_3!I8,FYXX_3.5!I8,FYXX_4!I8,#REF!,#REF!)</f>
        <v>10308641</v>
      </c>
      <c r="G13" s="17">
        <v>0</v>
      </c>
      <c r="H13" s="17">
        <f>CHOOSE($Q$19,FYXX_0!K8,FYXX_.05!K8,FYXX_1!K8,FYXX_1.5!K8,FYXX_2.0!K8,FYXX_2.5!K8,FYXX_3!K8,FYXX_3.5!K8,FYXX_4!K8,#REF!,#REF!)</f>
        <v>4448296</v>
      </c>
      <c r="I13" s="17">
        <f>CHOOSE($Q$19,FYXX_0!L8,FYXX_.05!L8,FYXX_1!L8,FYXX_1.5!L8,FYXX_2.0!L8,FYXX_2.5!L8,FYXX_3!L8,FYXX_3.5!L8,FYXX_4!L8,#REF!,#REF!)</f>
        <v>558064</v>
      </c>
      <c r="J13" s="17">
        <v>-1693567</v>
      </c>
      <c r="K13" s="17">
        <f t="shared" si="0"/>
        <v>75324068</v>
      </c>
      <c r="M13" s="37">
        <f>Heartland!J7</f>
        <v>-5681091</v>
      </c>
      <c r="N13" s="38">
        <f t="shared" si="1"/>
        <v>71336544</v>
      </c>
      <c r="P13" s="5">
        <v>2.5000000000000001E-2</v>
      </c>
      <c r="Q13">
        <v>6</v>
      </c>
    </row>
    <row r="14" spans="1:17" x14ac:dyDescent="0.25">
      <c r="A14" s="47">
        <f>CHOOSE($Q$19,FYXX_0!C9,FYXX_.05!C9,FYXX_1!C9,FYXX_1.5!C9,FYXX_2.0!C9,FYXX_2.5!C9,FYXX_3!C9,FYXX_3.5!C9,FYXX_4!C9,#REF!)</f>
        <v>12</v>
      </c>
      <c r="B14" s="26" t="str">
        <f>VLOOKUP(A14,AEA_Names!$A$4:$B$12,2,FALSE)</f>
        <v>NORTHWEST AEA</v>
      </c>
      <c r="C14" s="3">
        <f>CHOOSE($Q$19,FYXX_0!F9,FYXX_.05!F9,FYXX_1!F9,FYXX_1.5!F9,FYXX_2.0!F9,FYXX_2.5!F9,FYXX_3!F9,FYXX_3.5!F9,FYXX_4!F9,#REF!,#REF!)</f>
        <v>15507306</v>
      </c>
      <c r="D14" s="3">
        <f>CHOOSE($Q$19,FYXX_0!G9,FYXX_.05!G9,FYXX_1!G9,FYXX_1.5!G9,FYXX_2.0!G9,FYXX_2.5!G9,FYXX_3!G9,FYXX_3.5!G9,FYXX_4!G9,#REF!,#REF!)</f>
        <v>38145</v>
      </c>
      <c r="E14" s="3">
        <f>CHOOSE($Q$19,FYXX_0!H9,FYXX_.05!H9,FYXX_1!H9,FYXX_1.5!H9,FYXX_2.0!H9,FYXX_2.5!H9,FYXX_3!H9,FYXX_3.5!H9,FYXX_4!H9,#REF!,#REF!)</f>
        <v>2812415</v>
      </c>
      <c r="F14" s="3">
        <f>CHOOSE($Q$19,FYXX_0!I9,FYXX_.05!I9,FYXX_1!I9,FYXX_1.5!I9,FYXX_2.0!I9,FYXX_2.5!I9,FYXX_3!I9,FYXX_3.5!I9,FYXX_4!I9,#REF!,#REF!)</f>
        <v>3149538</v>
      </c>
      <c r="G14" s="3">
        <v>30000</v>
      </c>
      <c r="H14" s="3">
        <f>CHOOSE($Q$19,FYXX_0!K9,FYXX_.05!K9,FYXX_1!K9,FYXX_1.5!K9,FYXX_2.0!K9,FYXX_2.5!K9,FYXX_3!K9,FYXX_3.5!K9,FYXX_4!K9,#REF!,#REF!)</f>
        <v>1562971</v>
      </c>
      <c r="I14" s="3">
        <f>CHOOSE($Q$19,FYXX_0!L9,FYXX_.05!L9,FYXX_1!L9,FYXX_1.5!L9,FYXX_2.0!L9,FYXX_2.5!L9,FYXX_3!L9,FYXX_3.5!L9,FYXX_4!L9,#REF!,#REF!)</f>
        <v>186325</v>
      </c>
      <c r="J14" s="3">
        <v>-647092</v>
      </c>
      <c r="K14" s="3">
        <f t="shared" si="0"/>
        <v>22639608</v>
      </c>
      <c r="M14" s="35">
        <f>Northwest!J7</f>
        <v>-2111383</v>
      </c>
      <c r="N14" s="36">
        <f t="shared" si="1"/>
        <v>21175317</v>
      </c>
      <c r="P14" s="5">
        <v>0.03</v>
      </c>
      <c r="Q14">
        <v>7</v>
      </c>
    </row>
    <row r="15" spans="1:17" x14ac:dyDescent="0.25">
      <c r="A15" s="47">
        <f>CHOOSE($Q$19,FYXX_0!C10,FYXX_.05!C10,FYXX_1!C10,FYXX_1.5!C10,FYXX_2.0!C10,FYXX_2.5!C10,FYXX_3!C10,FYXX_3.5!C10,FYXX_4!C10,#REF!)</f>
        <v>13</v>
      </c>
      <c r="B15" s="26" t="str">
        <f>VLOOKUP(A15,AEA_Names!$A$4:$B$12,2,FALSE)</f>
        <v>GREEN HILLS AEA</v>
      </c>
      <c r="C15" s="3">
        <f>CHOOSE($Q$19,FYXX_0!F10,FYXX_.05!F10,FYXX_1!F10,FYXX_1.5!F10,FYXX_2.0!F10,FYXX_2.5!F10,FYXX_3!F10,FYXX_3.5!F10,FYXX_4!F10,#REF!,#REF!)</f>
        <v>14241109</v>
      </c>
      <c r="D15" s="3">
        <f>CHOOSE($Q$19,FYXX_0!G10,FYXX_.05!G10,FYXX_1!G10,FYXX_1.5!G10,FYXX_2.0!G10,FYXX_2.5!G10,FYXX_3!G10,FYXX_3.5!G10,FYXX_4!G10,#REF!,#REF!)</f>
        <v>57316</v>
      </c>
      <c r="E15" s="3">
        <f>CHOOSE($Q$19,FYXX_0!H10,FYXX_.05!H10,FYXX_1!H10,FYXX_1.5!H10,FYXX_2.0!H10,FYXX_2.5!H10,FYXX_3!H10,FYXX_3.5!H10,FYXX_4!H10,#REF!,#REF!)</f>
        <v>2341902</v>
      </c>
      <c r="F15" s="3">
        <f>CHOOSE($Q$19,FYXX_0!I10,FYXX_.05!I10,FYXX_1!I10,FYXX_1.5!I10,FYXX_2.0!I10,FYXX_2.5!I10,FYXX_3!I10,FYXX_3.5!I10,FYXX_4!I10,#REF!,#REF!)</f>
        <v>2589075</v>
      </c>
      <c r="G15" s="3">
        <v>30000</v>
      </c>
      <c r="H15" s="3">
        <f>CHOOSE($Q$19,FYXX_0!K10,FYXX_.05!K10,FYXX_1!K10,FYXX_1.5!K10,FYXX_2.0!K10,FYXX_2.5!K10,FYXX_3!K10,FYXX_3.5!K10,FYXX_4!K10,#REF!,#REF!)</f>
        <v>1464731</v>
      </c>
      <c r="I15" s="3">
        <f>CHOOSE($Q$19,FYXX_0!L10,FYXX_.05!L10,FYXX_1!L10,FYXX_1.5!L10,FYXX_2.0!L10,FYXX_2.5!L10,FYXX_3!L10,FYXX_3.5!L10,FYXX_4!L10,#REF!,#REF!)</f>
        <v>157944</v>
      </c>
      <c r="J15" s="3">
        <v>-656548</v>
      </c>
      <c r="K15" s="3">
        <f t="shared" si="0"/>
        <v>20225529</v>
      </c>
      <c r="M15" s="35">
        <f>GreenHills!J7</f>
        <v>-2111676</v>
      </c>
      <c r="N15" s="36">
        <f t="shared" si="1"/>
        <v>18770401</v>
      </c>
      <c r="P15" s="5">
        <v>3.5000000000000003E-2</v>
      </c>
      <c r="Q15">
        <v>8</v>
      </c>
    </row>
    <row r="16" spans="1:17" x14ac:dyDescent="0.25">
      <c r="A16" s="47">
        <f>CHOOSE($Q$19,FYXX_0!C11,FYXX_.05!C11,FYXX_1!C11,FYXX_1.5!C11,FYXX_2.0!C11,FYXX_2.5!C11,FYXX_3!C11,FYXX_3.5!C11,FYXX_4!C11,#REF!)</f>
        <v>15</v>
      </c>
      <c r="B16" s="27" t="str">
        <f>VLOOKUP(A16,AEA_Names!$A$4:$B$12,2,FALSE)</f>
        <v>GREAT PRAIRIE AEA</v>
      </c>
      <c r="C16" s="17">
        <f>CHOOSE($Q$19,FYXX_0!F11,FYXX_.05!F11,FYXX_1!F11,FYXX_1.5!F11,FYXX_2.0!F11,FYXX_2.5!F11,FYXX_3!F11,FYXX_3.5!F11,FYXX_4!F11,#REF!,#REF!)</f>
        <v>12735080</v>
      </c>
      <c r="D16" s="17">
        <f>CHOOSE($Q$19,FYXX_0!G11,FYXX_.05!G11,FYXX_1!G11,FYXX_1.5!G11,FYXX_2.0!G11,FYXX_2.5!G11,FYXX_3!G11,FYXX_3.5!G11,FYXX_4!G11,#REF!,#REF!)</f>
        <v>96549</v>
      </c>
      <c r="E16" s="17">
        <f>CHOOSE($Q$19,FYXX_0!H11,FYXX_.05!H11,FYXX_1!H11,FYXX_1.5!H11,FYXX_2.0!H11,FYXX_2.5!H11,FYXX_3!H11,FYXX_3.5!H11,FYXX_4!H11,#REF!,#REF!)</f>
        <v>2164647</v>
      </c>
      <c r="F16" s="17">
        <f>CHOOSE($Q$19,FYXX_0!I11,FYXX_.05!I11,FYXX_1!I11,FYXX_1.5!I11,FYXX_2.0!I11,FYXX_2.5!I11,FYXX_3!I11,FYXX_3.5!I11,FYXX_4!I11,#REF!,#REF!)</f>
        <v>2379223</v>
      </c>
      <c r="G16" s="17">
        <v>30000</v>
      </c>
      <c r="H16" s="17">
        <f>CHOOSE($Q$19,FYXX_0!K11,FYXX_.05!K11,FYXX_1!K11,FYXX_1.5!K11,FYXX_2.0!K11,FYXX_2.5!K11,FYXX_3!K11,FYXX_3.5!K11,FYXX_4!K11,#REF!,#REF!)</f>
        <v>1283409</v>
      </c>
      <c r="I16" s="17">
        <f>CHOOSE($Q$19,FYXX_0!L11,FYXX_.05!L11,FYXX_1!L11,FYXX_1.5!L11,FYXX_2.0!L11,FYXX_2.5!L11,FYXX_3!L11,FYXX_3.5!L11,FYXX_4!L11,#REF!,#REF!)</f>
        <v>140563</v>
      </c>
      <c r="J16" s="17">
        <v>-610815</v>
      </c>
      <c r="K16" s="17">
        <f t="shared" si="0"/>
        <v>18218656</v>
      </c>
      <c r="M16" s="37">
        <f>GreatPrairie!J7</f>
        <v>-1963574</v>
      </c>
      <c r="N16" s="38">
        <f t="shared" si="1"/>
        <v>16865897</v>
      </c>
      <c r="P16" s="5">
        <v>0.04</v>
      </c>
      <c r="Q16">
        <v>9</v>
      </c>
    </row>
    <row r="17" spans="1:17" ht="9" customHeight="1" x14ac:dyDescent="0.25">
      <c r="B17" s="9"/>
      <c r="C17" s="3"/>
      <c r="D17" s="3"/>
      <c r="E17" s="3"/>
      <c r="F17" s="3"/>
      <c r="G17" s="3"/>
      <c r="H17" s="3"/>
      <c r="I17" s="3"/>
      <c r="J17" s="3"/>
      <c r="K17" s="3"/>
      <c r="M17" s="35"/>
      <c r="N17" s="36"/>
      <c r="P17" s="5"/>
    </row>
    <row r="18" spans="1:17" x14ac:dyDescent="0.25">
      <c r="B18" s="10" t="s">
        <v>25</v>
      </c>
      <c r="C18" s="11">
        <f>SUM(C8:C16)</f>
        <v>184389784</v>
      </c>
      <c r="D18" s="11">
        <f t="shared" ref="D18:N18" si="2">SUM(D8:D16)</f>
        <v>700708</v>
      </c>
      <c r="E18" s="11">
        <f t="shared" si="2"/>
        <v>32188993</v>
      </c>
      <c r="F18" s="11">
        <f t="shared" si="2"/>
        <v>35563518</v>
      </c>
      <c r="G18" s="11">
        <f t="shared" si="2"/>
        <v>180000</v>
      </c>
      <c r="H18" s="11">
        <f t="shared" si="2"/>
        <v>18072438</v>
      </c>
      <c r="I18" s="11">
        <f t="shared" si="2"/>
        <v>2118828</v>
      </c>
      <c r="J18" s="11">
        <f t="shared" si="2"/>
        <v>-7500000</v>
      </c>
      <c r="K18" s="11">
        <f t="shared" si="2"/>
        <v>265714269</v>
      </c>
      <c r="M18" s="39">
        <f t="shared" si="2"/>
        <v>-24557131</v>
      </c>
      <c r="N18" s="40">
        <f t="shared" si="2"/>
        <v>248657138</v>
      </c>
      <c r="P18" s="5"/>
    </row>
    <row r="19" spans="1:17" x14ac:dyDescent="0.25">
      <c r="P19" s="7">
        <f>C5</f>
        <v>2.5000000000000001E-2</v>
      </c>
      <c r="Q19">
        <f>VLOOKUP(P19,P8:Q16,2,FALSE)</f>
        <v>6</v>
      </c>
    </row>
    <row r="20" spans="1:17" ht="7.9" customHeigh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7" ht="18.75" x14ac:dyDescent="0.3">
      <c r="B21" s="29" t="s">
        <v>27</v>
      </c>
    </row>
    <row r="22" spans="1:17" ht="6.6" customHeight="1" thickBot="1" x14ac:dyDescent="0.3">
      <c r="B22" s="16"/>
    </row>
    <row r="23" spans="1:17" ht="19.5" thickBot="1" x14ac:dyDescent="0.35">
      <c r="B23" s="14" t="s">
        <v>26</v>
      </c>
      <c r="C23" s="28">
        <v>0</v>
      </c>
      <c r="D23" s="12" t="str">
        <f>D5</f>
        <v>FY 2024 Amounts By AEA at Selected SSA Rate</v>
      </c>
      <c r="M23" s="60" t="str">
        <f>M5</f>
        <v>Matching Prior FY Reduction Amount</v>
      </c>
      <c r="N23" s="61"/>
    </row>
    <row r="24" spans="1:17" ht="9" customHeight="1" x14ac:dyDescent="0.25">
      <c r="M24" s="31"/>
      <c r="N24" s="32"/>
    </row>
    <row r="25" spans="1:17" ht="55.9" customHeight="1" x14ac:dyDescent="0.25">
      <c r="A25" s="8"/>
      <c r="B25" s="8" t="s">
        <v>13</v>
      </c>
      <c r="C25" s="8" t="s">
        <v>16</v>
      </c>
      <c r="D25" s="8" t="s">
        <v>17</v>
      </c>
      <c r="E25" s="8" t="s">
        <v>18</v>
      </c>
      <c r="F25" s="8" t="s">
        <v>19</v>
      </c>
      <c r="G25" s="8" t="str">
        <f>G7</f>
        <v>Sharing*</v>
      </c>
      <c r="H25" s="8" t="s">
        <v>22</v>
      </c>
      <c r="I25" s="8" t="s">
        <v>21</v>
      </c>
      <c r="J25" s="8" t="s">
        <v>23</v>
      </c>
      <c r="K25" s="8" t="s">
        <v>24</v>
      </c>
      <c r="M25" s="33" t="s">
        <v>32</v>
      </c>
      <c r="N25" s="34" t="s">
        <v>24</v>
      </c>
    </row>
    <row r="26" spans="1:17" x14ac:dyDescent="0.25">
      <c r="A26" s="47">
        <f>CHOOSE($Q$37,FYXX_0!C3,FYXX_.05!C3,FYXX_1!C3,FYXX_1.5!C3,FYXX_2.0!C3,FYXX_2.5!C3,FYXX_3!C3,FYXX_3.5!C3,FYXX_4!C3,#REF!)</f>
        <v>1</v>
      </c>
      <c r="B26" s="26" t="str">
        <f>VLOOKUP(A26,AEA_Names!$A$4:$B$12,2,FALSE)</f>
        <v>KEYSTONE AEA</v>
      </c>
      <c r="C26" s="3">
        <f>CHOOSE($Q$37,FYXX_0!F3,FYXX_.05!F3,FYXX_1!F3,FYXX_1.5!F3,FYXX_2.0!F3,FYXX_2.5!F3,FYXX_3!F3,FYXX_3.5!F3,FYXX_4!F3,#REF!,#REF!)</f>
        <v>10903052</v>
      </c>
      <c r="D26" s="3">
        <f>CHOOSE($Q$37,FYXX_0!G3,FYXX_.05!G3,FYXX_1!G3,FYXX_1.5!G3,FYXX_2.0!G3,FYXX_2.5!G3,FYXX_3!G3,FYXX_3.5!G3,FYXX_4!G3,#REF!,#REF!)</f>
        <v>85792</v>
      </c>
      <c r="E26" s="3">
        <f>CHOOSE($Q$37,FYXX_0!H3,FYXX_.05!H3,FYXX_1!H3,FYXX_1.5!H3,FYXX_2.0!H3,FYXX_2.5!H3,FYXX_3!H3,FYXX_3.5!H3,FYXX_4!H3,#REF!,#REF!)</f>
        <v>1912270</v>
      </c>
      <c r="F26" s="3">
        <f>CHOOSE($Q$37,FYXX_0!I3,FYXX_.05!I3,FYXX_1!I3,FYXX_1.5!I3,FYXX_2.0!I3,FYXX_2.5!I3,FYXX_3!I3,FYXX_3.5!I3,FYXX_4!I3,#REF!,#REF!)</f>
        <v>2130842</v>
      </c>
      <c r="G26" s="3">
        <v>30000</v>
      </c>
      <c r="H26" s="3">
        <f>CHOOSE($Q$37,FYXX_0!K3,FYXX_.05!K3,FYXX_1!K3,FYXX_1.5!K3,FYXX_2.0!K3,FYXX_2.5!K3,FYXX_3!K3,FYXX_3.5!K3,FYXX_4!K3,#REF!,#REF!)</f>
        <v>1084589</v>
      </c>
      <c r="I26" s="3">
        <f>CHOOSE($Q$37,FYXX_0!L3,FYXX_.05!L3,FYXX_1!L3,FYXX_1.5!L3,FYXX_2.0!L3,FYXX_2.5!L3,FYXX_3!L3,FYXX_3.5!L3,FYXX_4!L3,#REF!,#REF!)</f>
        <v>117306</v>
      </c>
      <c r="J26" s="3">
        <f>J8</f>
        <v>-537076</v>
      </c>
      <c r="K26" s="3">
        <f>SUM(C26:J26)</f>
        <v>15726775</v>
      </c>
      <c r="M26" s="35">
        <f t="shared" ref="M26:M34" si="3">M8</f>
        <v>-1713114</v>
      </c>
      <c r="N26" s="36">
        <f>C26+D26+E26+F26+G26+H26+I26+M26</f>
        <v>14550737</v>
      </c>
      <c r="P26" s="5">
        <f>P8</f>
        <v>0</v>
      </c>
      <c r="Q26">
        <v>1</v>
      </c>
    </row>
    <row r="27" spans="1:17" x14ac:dyDescent="0.25">
      <c r="A27" s="47">
        <f>CHOOSE($Q$37,FYXX_0!C4,FYXX_.05!C4,FYXX_1!C4,FYXX_1.5!C4,FYXX_2.0!C4,FYXX_2.5!C4,FYXX_3!C4,FYXX_3.5!C4,FYXX_4!C4,#REF!)</f>
        <v>5</v>
      </c>
      <c r="B27" s="26" t="str">
        <f>VLOOKUP(A27,AEA_Names!$A$4:$B$12,2,FALSE)</f>
        <v>PRAIRIE LAKES AEA</v>
      </c>
      <c r="C27" s="3">
        <f>CHOOSE($Q$37,FYXX_0!F4,FYXX_.05!F4,FYXX_1!F4,FYXX_1.5!F4,FYXX_2.0!F4,FYXX_2.5!F4,FYXX_3!F4,FYXX_3.5!F4,FYXX_4!F4,#REF!,#REF!)</f>
        <v>11402145</v>
      </c>
      <c r="D27" s="3">
        <f>CHOOSE($Q$37,FYXX_0!G4,FYXX_.05!G4,FYXX_1!G4,FYXX_1.5!G4,FYXX_2.0!G4,FYXX_2.5!G4,FYXX_3!G4,FYXX_3.5!G4,FYXX_4!G4,#REF!,#REF!)</f>
        <v>210367</v>
      </c>
      <c r="E27" s="3">
        <f>CHOOSE($Q$37,FYXX_0!H4,FYXX_.05!H4,FYXX_1!H4,FYXX_1.5!H4,FYXX_2.0!H4,FYXX_2.5!H4,FYXX_3!H4,FYXX_3.5!H4,FYXX_4!H4,#REF!,#REF!)</f>
        <v>1941990</v>
      </c>
      <c r="F27" s="3">
        <f>CHOOSE($Q$37,FYXX_0!I4,FYXX_.05!I4,FYXX_1!I4,FYXX_1.5!I4,FYXX_2.0!I4,FYXX_2.5!I4,FYXX_3!I4,FYXX_3.5!I4,FYXX_4!I4,#REF!,#REF!)</f>
        <v>2176143</v>
      </c>
      <c r="G27" s="3">
        <v>0</v>
      </c>
      <c r="H27" s="3">
        <f>CHOOSE($Q$37,FYXX_0!K4,FYXX_.05!K4,FYXX_1!K4,FYXX_1.5!K4,FYXX_2.0!K4,FYXX_2.5!K4,FYXX_3!K4,FYXX_3.5!K4,FYXX_4!K4,#REF!,#REF!)</f>
        <v>1221195</v>
      </c>
      <c r="I27" s="3">
        <f>CHOOSE($Q$37,FYXX_0!L4,FYXX_.05!L4,FYXX_1!L4,FYXX_1.5!L4,FYXX_2.0!L4,FYXX_2.5!L4,FYXX_3!L4,FYXX_3.5!L4,FYXX_4!L4,#REF!,#REF!)</f>
        <v>145110</v>
      </c>
      <c r="J27" s="3">
        <f t="shared" ref="J27:J34" si="4">J9</f>
        <v>-572744</v>
      </c>
      <c r="K27" s="3">
        <f>SUM(C27:J27)</f>
        <v>16524206</v>
      </c>
      <c r="M27" s="35">
        <f t="shared" si="3"/>
        <v>-1841660</v>
      </c>
      <c r="N27" s="36">
        <f t="shared" ref="N27:N33" si="5">C27+D27+E27+F27+G27+H27+I27+M27</f>
        <v>15255290</v>
      </c>
      <c r="P27" s="5">
        <f t="shared" ref="P27:P34" si="6">P9</f>
        <v>5.0000000000000001E-3</v>
      </c>
      <c r="Q27">
        <v>2</v>
      </c>
    </row>
    <row r="28" spans="1:17" x14ac:dyDescent="0.25">
      <c r="A28" s="47">
        <f>CHOOSE($Q$37,FYXX_0!C5,FYXX_.05!C5,FYXX_1!C5,FYXX_1.5!C5,FYXX_2.0!C5,FYXX_2.5!C5,FYXX_3!C5,FYXX_3.5!C5,FYXX_4!C5,#REF!)</f>
        <v>7</v>
      </c>
      <c r="B28" s="27" t="str">
        <f>VLOOKUP(A28,AEA_Names!$A$4:$B$12,2,FALSE)</f>
        <v>Central Rivers AEA</v>
      </c>
      <c r="C28" s="17">
        <f>CHOOSE($Q$37,FYXX_0!F5,FYXX_.05!F5,FYXX_1!F5,FYXX_1.5!F5,FYXX_2.0!F5,FYXX_2.5!F5,FYXX_3!F5,FYXX_3.5!F5,FYXX_4!F5,#REF!,#REF!)</f>
        <v>23129422</v>
      </c>
      <c r="D28" s="17">
        <f>CHOOSE($Q$37,FYXX_0!G5,FYXX_.05!G5,FYXX_1!G5,FYXX_1.5!G5,FYXX_2.0!G5,FYXX_2.5!G5,FYXX_3!G5,FYXX_3.5!G5,FYXX_4!G5,#REF!,#REF!)</f>
        <v>379472</v>
      </c>
      <c r="E28" s="17">
        <f>CHOOSE($Q$37,FYXX_0!H5,FYXX_.05!H5,FYXX_1!H5,FYXX_1.5!H5,FYXX_2.0!H5,FYXX_2.5!H5,FYXX_3!H5,FYXX_3.5!H5,FYXX_4!H5,#REF!,#REF!)</f>
        <v>3904928</v>
      </c>
      <c r="F28" s="17">
        <f>CHOOSE($Q$37,FYXX_0!I5,FYXX_.05!I5,FYXX_1!I5,FYXX_1.5!I5,FYXX_2.0!I5,FYXX_2.5!I5,FYXX_3!I5,FYXX_3.5!I5,FYXX_4!I5,#REF!,#REF!)</f>
        <v>4354899</v>
      </c>
      <c r="G28" s="17">
        <v>30000</v>
      </c>
      <c r="H28" s="17">
        <f>CHOOSE($Q$37,FYXX_0!K5,FYXX_.05!K5,FYXX_1!K5,FYXX_1.5!K5,FYXX_2.0!K5,FYXX_2.5!K5,FYXX_3!K5,FYXX_3.5!K5,FYXX_4!K5,#REF!,#REF!)</f>
        <v>2898655</v>
      </c>
      <c r="I28" s="17">
        <f>CHOOSE($Q$37,FYXX_0!L5,FYXX_.05!L5,FYXX_1!L5,FYXX_1.5!L5,FYXX_2.0!L5,FYXX_2.5!L5,FYXX_3!L5,FYXX_3.5!L5,FYXX_4!L5,#REF!,#REF!)</f>
        <v>333312</v>
      </c>
      <c r="J28" s="17">
        <f t="shared" si="4"/>
        <v>-1051119</v>
      </c>
      <c r="K28" s="17">
        <f t="shared" ref="K28:K34" si="7">SUM(C28:J28)</f>
        <v>33979569</v>
      </c>
      <c r="M28" s="37">
        <f t="shared" si="3"/>
        <v>-3478978</v>
      </c>
      <c r="N28" s="38">
        <f t="shared" si="5"/>
        <v>31551710</v>
      </c>
      <c r="P28" s="5">
        <f t="shared" si="6"/>
        <v>0.01</v>
      </c>
      <c r="Q28">
        <v>3</v>
      </c>
    </row>
    <row r="29" spans="1:17" x14ac:dyDescent="0.25">
      <c r="A29" s="47">
        <f>CHOOSE($Q$37,FYXX_0!C6,FYXX_.05!C6,FYXX_1!C6,FYXX_1.5!C6,FYXX_2.0!C6,FYXX_2.5!C6,FYXX_3!C6,FYXX_3.5!C6,FYXX_4!C6,#REF!)</f>
        <v>9</v>
      </c>
      <c r="B29" s="26" t="str">
        <f>VLOOKUP(A29,AEA_Names!$A$4:$B$12,2,FALSE)</f>
        <v>MISSISSIPPI BEND AEA</v>
      </c>
      <c r="C29" s="3">
        <f>CHOOSE($Q$37,FYXX_0!F6,FYXX_.05!F6,FYXX_1!F6,FYXX_1.5!F6,FYXX_2.0!F6,FYXX_2.5!F6,FYXX_3!F6,FYXX_3.5!F6,FYXX_4!F6,#REF!,#REF!)</f>
        <v>16847605</v>
      </c>
      <c r="D29" s="3">
        <f>CHOOSE($Q$37,FYXX_0!G6,FYXX_.05!G6,FYXX_1!G6,FYXX_1.5!G6,FYXX_2.0!G6,FYXX_2.5!G6,FYXX_3!G6,FYXX_3.5!G6,FYXX_4!G6,#REF!,#REF!)</f>
        <v>348921</v>
      </c>
      <c r="E29" s="3">
        <f>CHOOSE($Q$37,FYXX_0!H6,FYXX_.05!H6,FYXX_1!H6,FYXX_1.5!H6,FYXX_2.0!H6,FYXX_2.5!H6,FYXX_3!H6,FYXX_3.5!H6,FYXX_4!H6,#REF!,#REF!)</f>
        <v>2901637</v>
      </c>
      <c r="F29" s="3">
        <f>CHOOSE($Q$37,FYXX_0!I6,FYXX_.05!I6,FYXX_1!I6,FYXX_1.5!I6,FYXX_2.0!I6,FYXX_2.5!I6,FYXX_3!I6,FYXX_3.5!I6,FYXX_4!I6,#REF!,#REF!)</f>
        <v>3169764</v>
      </c>
      <c r="G29" s="3">
        <v>0</v>
      </c>
      <c r="H29" s="3">
        <f>CHOOSE($Q$37,FYXX_0!K6,FYXX_.05!K6,FYXX_1!K6,FYXX_1.5!K6,FYXX_2.0!K6,FYXX_2.5!K6,FYXX_3!K6,FYXX_3.5!K6,FYXX_4!K6,#REF!,#REF!)</f>
        <v>1558052</v>
      </c>
      <c r="I29" s="3">
        <f>CHOOSE($Q$37,FYXX_0!L6,FYXX_.05!L6,FYXX_1!L6,FYXX_1.5!L6,FYXX_2.0!L6,FYXX_2.5!L6,FYXX_3!L6,FYXX_3.5!L6,FYXX_4!L6,#REF!,#REF!)</f>
        <v>182654</v>
      </c>
      <c r="J29" s="3">
        <f t="shared" si="4"/>
        <v>-767782</v>
      </c>
      <c r="K29" s="3">
        <f t="shared" si="7"/>
        <v>24240851</v>
      </c>
      <c r="M29" s="35">
        <f t="shared" si="3"/>
        <v>-2473263</v>
      </c>
      <c r="N29" s="36">
        <f t="shared" si="5"/>
        <v>22535370</v>
      </c>
      <c r="P29" s="5">
        <f t="shared" si="6"/>
        <v>1.4999999999999999E-2</v>
      </c>
      <c r="Q29">
        <v>4</v>
      </c>
    </row>
    <row r="30" spans="1:17" x14ac:dyDescent="0.25">
      <c r="A30" s="47">
        <f>CHOOSE($Q$37,FYXX_0!C7,FYXX_.05!C7,FYXX_1!C7,FYXX_1.5!C7,FYXX_2.0!C7,FYXX_2.5!C7,FYXX_3!C7,FYXX_3.5!C7,FYXX_4!C7,#REF!)</f>
        <v>10</v>
      </c>
      <c r="B30" s="26" t="str">
        <f>VLOOKUP(A30,AEA_Names!$A$4:$B$12,2,FALSE)</f>
        <v>GRANT WOOD AEA</v>
      </c>
      <c r="C30" s="3">
        <f>CHOOSE($Q$37,FYXX_0!F7,FYXX_.05!F7,FYXX_1!F7,FYXX_1.5!F7,FYXX_2.0!F7,FYXX_2.5!F7,FYXX_3!F7,FYXX_3.5!F7,FYXX_4!F7,#REF!,#REF!)</f>
        <v>25175560</v>
      </c>
      <c r="D30" s="3">
        <f>CHOOSE($Q$37,FYXX_0!G7,FYXX_.05!G7,FYXX_1!G7,FYXX_1.5!G7,FYXX_2.0!G7,FYXX_2.5!G7,FYXX_3!G7,FYXX_3.5!G7,FYXX_4!G7,#REF!,#REF!)</f>
        <v>236667</v>
      </c>
      <c r="E30" s="3">
        <f>CHOOSE($Q$37,FYXX_0!H7,FYXX_.05!H7,FYXX_1!H7,FYXX_1.5!H7,FYXX_2.0!H7,FYXX_2.5!H7,FYXX_3!H7,FYXX_3.5!H7,FYXX_4!H7,#REF!,#REF!)</f>
        <v>4447493</v>
      </c>
      <c r="F30" s="3">
        <f>CHOOSE($Q$37,FYXX_0!I7,FYXX_.05!I7,FYXX_1!I7,FYXX_1.5!I7,FYXX_2.0!I7,FYXX_2.5!I7,FYXX_3!I7,FYXX_3.5!I7,FYXX_4!I7,#REF!,#REF!)</f>
        <v>4888192</v>
      </c>
      <c r="G30" s="3">
        <v>30000</v>
      </c>
      <c r="H30" s="3">
        <f>CHOOSE($Q$37,FYXX_0!K7,FYXX_.05!K7,FYXX_1!K7,FYXX_1.5!K7,FYXX_2.0!K7,FYXX_2.5!K7,FYXX_3!K7,FYXX_3.5!K7,FYXX_4!K7,#REF!,#REF!)</f>
        <v>2390989</v>
      </c>
      <c r="I30" s="3">
        <f>CHOOSE($Q$37,FYXX_0!L7,FYXX_.05!L7,FYXX_1!L7,FYXX_1.5!L7,FYXX_2.0!L7,FYXX_2.5!L7,FYXX_3!L7,FYXX_3.5!L7,FYXX_4!L7,#REF!,#REF!)</f>
        <v>278114</v>
      </c>
      <c r="J30" s="3">
        <f t="shared" si="4"/>
        <v>-963257</v>
      </c>
      <c r="K30" s="3">
        <f t="shared" si="7"/>
        <v>36483758</v>
      </c>
      <c r="M30" s="35">
        <f t="shared" si="3"/>
        <v>-3182392</v>
      </c>
      <c r="N30" s="36">
        <f t="shared" si="5"/>
        <v>34264623</v>
      </c>
      <c r="P30" s="5">
        <f t="shared" si="6"/>
        <v>0.02</v>
      </c>
      <c r="Q30">
        <v>5</v>
      </c>
    </row>
    <row r="31" spans="1:17" x14ac:dyDescent="0.25">
      <c r="A31" s="47">
        <f>CHOOSE($Q$37,FYXX_0!C8,FYXX_.05!C8,FYXX_1!C8,FYXX_1.5!C8,FYXX_2.0!C8,FYXX_2.5!C8,FYXX_3!C8,FYXX_3.5!C8,FYXX_4!C8,#REF!)</f>
        <v>11</v>
      </c>
      <c r="B31" s="27" t="str">
        <f>VLOOKUP(A31,AEA_Names!$A$4:$B$12,2,FALSE)</f>
        <v>HEARTLAND AEA</v>
      </c>
      <c r="C31" s="17">
        <f>CHOOSE($Q$37,FYXX_0!F8,FYXX_.05!F8,FYXX_1!F8,FYXX_1.5!F8,FYXX_2.0!F8,FYXX_2.5!F8,FYXX_3!F8,FYXX_3.5!F8,FYXX_4!F8,#REF!,#REF!)</f>
        <v>50982515</v>
      </c>
      <c r="D31" s="17">
        <f>CHOOSE($Q$37,FYXX_0!G8,FYXX_.05!G8,FYXX_1!G8,FYXX_1.5!G8,FYXX_2.0!G8,FYXX_2.5!G8,FYXX_3!G8,FYXX_3.5!G8,FYXX_4!G8,#REF!,#REF!)</f>
        <v>261417</v>
      </c>
      <c r="E31" s="17">
        <f>CHOOSE($Q$37,FYXX_0!H8,FYXX_.05!H8,FYXX_1!H8,FYXX_1.5!H8,FYXX_2.0!H8,FYXX_2.5!H8,FYXX_3!H8,FYXX_3.5!H8,FYXX_4!H8,#REF!,#REF!)</f>
        <v>9154961</v>
      </c>
      <c r="F31" s="17">
        <f>CHOOSE($Q$37,FYXX_0!I8,FYXX_.05!I8,FYXX_1!I8,FYXX_1.5!I8,FYXX_2.0!I8,FYXX_2.5!I8,FYXX_3!I8,FYXX_3.5!I8,FYXX_4!I8,#REF!,#REF!)</f>
        <v>10054799</v>
      </c>
      <c r="G31" s="17">
        <v>0</v>
      </c>
      <c r="H31" s="17">
        <f>CHOOSE($Q$37,FYXX_0!K8,FYXX_.05!K8,FYXX_1!K8,FYXX_1.5!K8,FYXX_2.0!K8,FYXX_2.5!K8,FYXX_3!K8,FYXX_3.5!K8,FYXX_4!K8,#REF!,#REF!)</f>
        <v>4331346</v>
      </c>
      <c r="I31" s="17">
        <f>CHOOSE($Q$37,FYXX_0!L8,FYXX_.05!L8,FYXX_1!L8,FYXX_1.5!L8,FYXX_2.0!L8,FYXX_2.5!L8,FYXX_3!L8,FYXX_3.5!L8,FYXX_4!L8,#REF!,#REF!)</f>
        <v>544048</v>
      </c>
      <c r="J31" s="17">
        <f t="shared" si="4"/>
        <v>-1693567</v>
      </c>
      <c r="K31" s="17">
        <f t="shared" si="7"/>
        <v>73635519</v>
      </c>
      <c r="M31" s="37">
        <f t="shared" si="3"/>
        <v>-5681091</v>
      </c>
      <c r="N31" s="38">
        <f t="shared" si="5"/>
        <v>69647995</v>
      </c>
      <c r="P31" s="5">
        <f t="shared" si="6"/>
        <v>2.5000000000000001E-2</v>
      </c>
      <c r="Q31">
        <v>6</v>
      </c>
    </row>
    <row r="32" spans="1:17" x14ac:dyDescent="0.25">
      <c r="A32" s="47">
        <f>CHOOSE($Q$37,FYXX_0!C9,FYXX_.05!C9,FYXX_1!C9,FYXX_1.5!C9,FYXX_2.0!C9,FYXX_2.5!C9,FYXX_3!C9,FYXX_3.5!C9,FYXX_4!C9,#REF!)</f>
        <v>12</v>
      </c>
      <c r="B32" s="26" t="str">
        <f>VLOOKUP(A32,AEA_Names!$A$4:$B$12,2,FALSE)</f>
        <v>NORTHWEST AEA</v>
      </c>
      <c r="C32" s="3">
        <f>CHOOSE($Q$37,FYXX_0!F9,FYXX_.05!F9,FYXX_1!F9,FYXX_1.5!F9,FYXX_2.0!F9,FYXX_2.5!F9,FYXX_3!F9,FYXX_3.5!F9,FYXX_4!F9,#REF!,#REF!)</f>
        <v>15136666</v>
      </c>
      <c r="D32" s="3">
        <f>CHOOSE($Q$37,FYXX_0!G9,FYXX_.05!G9,FYXX_1!G9,FYXX_1.5!G9,FYXX_2.0!G9,FYXX_2.5!G9,FYXX_3!G9,FYXX_3.5!G9,FYXX_4!G9,#REF!,#REF!)</f>
        <v>115991</v>
      </c>
      <c r="E32" s="3">
        <f>CHOOSE($Q$37,FYXX_0!H9,FYXX_.05!H9,FYXX_1!H9,FYXX_1.5!H9,FYXX_2.0!H9,FYXX_2.5!H9,FYXX_3!H9,FYXX_3.5!H9,FYXX_4!H9,#REF!,#REF!)</f>
        <v>2744082</v>
      </c>
      <c r="F32" s="3">
        <f>CHOOSE($Q$37,FYXX_0!I9,FYXX_.05!I9,FYXX_1!I9,FYXX_1.5!I9,FYXX_2.0!I9,FYXX_2.5!I9,FYXX_3!I9,FYXX_3.5!I9,FYXX_4!I9,#REF!,#REF!)</f>
        <v>3073970</v>
      </c>
      <c r="G32" s="3">
        <v>30000</v>
      </c>
      <c r="H32" s="3">
        <f>CHOOSE($Q$37,FYXX_0!K9,FYXX_.05!K9,FYXX_1!K9,FYXX_1.5!K9,FYXX_2.0!K9,FYXX_2.5!K9,FYXX_3!K9,FYXX_3.5!K9,FYXX_4!K9,#REF!,#REF!)</f>
        <v>1531955</v>
      </c>
      <c r="I32" s="3">
        <f>CHOOSE($Q$37,FYXX_0!L9,FYXX_.05!L9,FYXX_1!L9,FYXX_1.5!L9,FYXX_2.0!L9,FYXX_2.5!L9,FYXX_3!L9,FYXX_3.5!L9,FYXX_4!L9,#REF!,#REF!)</f>
        <v>182583</v>
      </c>
      <c r="J32" s="3">
        <f t="shared" si="4"/>
        <v>-647092</v>
      </c>
      <c r="K32" s="3">
        <f t="shared" si="7"/>
        <v>22168155</v>
      </c>
      <c r="M32" s="35">
        <f t="shared" si="3"/>
        <v>-2111383</v>
      </c>
      <c r="N32" s="36">
        <f t="shared" si="5"/>
        <v>20703864</v>
      </c>
      <c r="P32" s="5">
        <f t="shared" si="6"/>
        <v>0.03</v>
      </c>
      <c r="Q32">
        <v>7</v>
      </c>
    </row>
    <row r="33" spans="1:17" x14ac:dyDescent="0.25">
      <c r="A33" s="47">
        <f>CHOOSE($Q$37,FYXX_0!C10,FYXX_.05!C10,FYXX_1!C10,FYXX_1.5!C10,FYXX_2.0!C10,FYXX_2.5!C10,FYXX_3!C10,FYXX_3.5!C10,FYXX_4!C10,#REF!)</f>
        <v>13</v>
      </c>
      <c r="B33" s="26" t="str">
        <f>VLOOKUP(A33,AEA_Names!$A$4:$B$12,2,FALSE)</f>
        <v>GREEN HILLS AEA</v>
      </c>
      <c r="C33" s="3">
        <f>CHOOSE($Q$37,FYXX_0!F10,FYXX_.05!F10,FYXX_1!F10,FYXX_1.5!F10,FYXX_2.0!F10,FYXX_2.5!F10,FYXX_3!F10,FYXX_3.5!F10,FYXX_4!F10,#REF!,#REF!)</f>
        <v>13893999</v>
      </c>
      <c r="D33" s="3">
        <f>CHOOSE($Q$37,FYXX_0!G10,FYXX_.05!G10,FYXX_1!G10,FYXX_1.5!G10,FYXX_2.0!G10,FYXX_2.5!G10,FYXX_3!G10,FYXX_3.5!G10,FYXX_4!G10,#REF!,#REF!)</f>
        <v>136121</v>
      </c>
      <c r="E33" s="3">
        <f>CHOOSE($Q$37,FYXX_0!H10,FYXX_.05!H10,FYXX_1!H10,FYXX_1.5!H10,FYXX_2.0!H10,FYXX_2.5!H10,FYXX_3!H10,FYXX_3.5!H10,FYXX_4!H10,#REF!,#REF!)</f>
        <v>2284744</v>
      </c>
      <c r="F33" s="3">
        <f>CHOOSE($Q$37,FYXX_0!I10,FYXX_.05!I10,FYXX_1!I10,FYXX_1.5!I10,FYXX_2.0!I10,FYXX_2.5!I10,FYXX_3!I10,FYXX_3.5!I10,FYXX_4!I10,#REF!,#REF!)</f>
        <v>2525864</v>
      </c>
      <c r="G33" s="3">
        <v>30000</v>
      </c>
      <c r="H33" s="3">
        <f>CHOOSE($Q$37,FYXX_0!K10,FYXX_.05!K10,FYXX_1!K10,FYXX_1.5!K10,FYXX_2.0!K10,FYXX_2.5!K10,FYXX_3!K10,FYXX_3.5!K10,FYXX_4!K10,#REF!,#REF!)</f>
        <v>1434494</v>
      </c>
      <c r="I33" s="3">
        <f>CHOOSE($Q$37,FYXX_0!L10,FYXX_.05!L10,FYXX_1!L10,FYXX_1.5!L10,FYXX_2.0!L10,FYXX_2.5!L10,FYXX_3!L10,FYXX_3.5!L10,FYXX_4!L10,#REF!,#REF!)</f>
        <v>154263</v>
      </c>
      <c r="J33" s="3">
        <f t="shared" si="4"/>
        <v>-656548</v>
      </c>
      <c r="K33" s="3">
        <f t="shared" si="7"/>
        <v>19802937</v>
      </c>
      <c r="M33" s="35">
        <f t="shared" si="3"/>
        <v>-2111676</v>
      </c>
      <c r="N33" s="36">
        <f t="shared" si="5"/>
        <v>18347809</v>
      </c>
      <c r="P33" s="5">
        <f t="shared" si="6"/>
        <v>3.5000000000000003E-2</v>
      </c>
      <c r="Q33">
        <v>8</v>
      </c>
    </row>
    <row r="34" spans="1:17" x14ac:dyDescent="0.25">
      <c r="A34" s="47">
        <f>CHOOSE($Q$37,FYXX_0!C11,FYXX_.05!C11,FYXX_1!C11,FYXX_1.5!C11,FYXX_2.0!C11,FYXX_2.5!C11,FYXX_3!C11,FYXX_3.5!C11,FYXX_4!C11,#REF!)</f>
        <v>15</v>
      </c>
      <c r="B34" s="27" t="str">
        <f>VLOOKUP(A34,AEA_Names!$A$4:$B$12,2,FALSE)</f>
        <v>GREAT PRAIRIE AEA</v>
      </c>
      <c r="C34" s="17">
        <f>CHOOSE($Q$37,FYXX_0!F11,FYXX_.05!F11,FYXX_1!F11,FYXX_1.5!F11,FYXX_2.0!F11,FYXX_2.5!F11,FYXX_3!F11,FYXX_3.5!F11,FYXX_4!F11,#REF!,#REF!)</f>
        <v>12422188</v>
      </c>
      <c r="D34" s="17">
        <f>CHOOSE($Q$37,FYXX_0!G11,FYXX_.05!G11,FYXX_1!G11,FYXX_1.5!G11,FYXX_2.0!G11,FYXX_2.5!G11,FYXX_3!G11,FYXX_3.5!G11,FYXX_4!G11,#REF!,#REF!)</f>
        <v>225756</v>
      </c>
      <c r="E34" s="17">
        <f>CHOOSE($Q$37,FYXX_0!H11,FYXX_.05!H11,FYXX_1!H11,FYXX_1.5!H11,FYXX_2.0!H11,FYXX_2.5!H11,FYXX_3!H11,FYXX_3.5!H11,FYXX_4!H11,#REF!,#REF!)</f>
        <v>2111794</v>
      </c>
      <c r="F34" s="17">
        <f>CHOOSE($Q$37,FYXX_0!I11,FYXX_.05!I11,FYXX_1!I11,FYXX_1.5!I11,FYXX_2.0!I11,FYXX_2.5!I11,FYXX_3!I11,FYXX_3.5!I11,FYXX_4!I11,#REF!,#REF!)</f>
        <v>2320769</v>
      </c>
      <c r="G34" s="17">
        <v>30000</v>
      </c>
      <c r="H34" s="17">
        <f>CHOOSE($Q$37,FYXX_0!K11,FYXX_.05!K11,FYXX_1!K11,FYXX_1.5!K11,FYXX_2.0!K11,FYXX_2.5!K11,FYXX_3!K11,FYXX_3.5!K11,FYXX_4!K11,#REF!,#REF!)</f>
        <v>1262068</v>
      </c>
      <c r="I34" s="17">
        <f>CHOOSE($Q$37,FYXX_0!L11,FYXX_.05!L11,FYXX_1!L11,FYXX_1.5!L11,FYXX_2.0!L11,FYXX_2.5!L11,FYXX_3!L11,FYXX_3.5!L11,FYXX_4!L11,#REF!,#REF!)</f>
        <v>137927</v>
      </c>
      <c r="J34" s="17">
        <f t="shared" si="4"/>
        <v>-610815</v>
      </c>
      <c r="K34" s="17">
        <f t="shared" si="7"/>
        <v>17899687</v>
      </c>
      <c r="M34" s="37">
        <f t="shared" si="3"/>
        <v>-1963574</v>
      </c>
      <c r="N34" s="38">
        <f>C34+D34+E34+F34+G34+H34+I34+M34</f>
        <v>16546928</v>
      </c>
      <c r="P34" s="5">
        <f t="shared" si="6"/>
        <v>0.04</v>
      </c>
      <c r="Q34">
        <v>9</v>
      </c>
    </row>
    <row r="35" spans="1:17" ht="9" customHeight="1" x14ac:dyDescent="0.25">
      <c r="B35" s="9"/>
      <c r="C35" s="3"/>
      <c r="D35" s="3"/>
      <c r="E35" s="3"/>
      <c r="F35" s="3"/>
      <c r="G35" s="3"/>
      <c r="H35" s="3"/>
      <c r="I35" s="3"/>
      <c r="J35" s="3"/>
      <c r="K35" s="3"/>
      <c r="M35" s="41"/>
      <c r="N35" s="42"/>
      <c r="P35" s="5"/>
    </row>
    <row r="36" spans="1:17" x14ac:dyDescent="0.25">
      <c r="B36" s="10" t="s">
        <v>25</v>
      </c>
      <c r="C36" s="11">
        <f>SUM(C26:C34)</f>
        <v>179893152</v>
      </c>
      <c r="D36" s="11">
        <f t="shared" ref="D36:K36" si="8">SUM(D26:D34)</f>
        <v>2000504</v>
      </c>
      <c r="E36" s="11">
        <f t="shared" si="8"/>
        <v>31403899</v>
      </c>
      <c r="F36" s="11">
        <f t="shared" si="8"/>
        <v>34695242</v>
      </c>
      <c r="G36" s="11">
        <f t="shared" si="8"/>
        <v>180000</v>
      </c>
      <c r="H36" s="11">
        <f t="shared" si="8"/>
        <v>17713343</v>
      </c>
      <c r="I36" s="11">
        <f t="shared" si="8"/>
        <v>2075317</v>
      </c>
      <c r="J36" s="11">
        <f t="shared" si="8"/>
        <v>-7500000</v>
      </c>
      <c r="K36" s="11">
        <f t="shared" si="8"/>
        <v>260461457</v>
      </c>
      <c r="M36" s="39">
        <f>SUM(M26:M34)</f>
        <v>-24557131</v>
      </c>
      <c r="N36" s="40">
        <f>SUM(N26:N34)</f>
        <v>243404326</v>
      </c>
    </row>
    <row r="37" spans="1:17" x14ac:dyDescent="0.25">
      <c r="P37" s="7">
        <f>C23</f>
        <v>0</v>
      </c>
      <c r="Q37">
        <f>VLOOKUP(P37,P26:Q35,2,FALSE)</f>
        <v>1</v>
      </c>
    </row>
    <row r="38" spans="1:17" x14ac:dyDescent="0.25">
      <c r="B38" s="25" t="s">
        <v>76</v>
      </c>
      <c r="K38" s="43"/>
    </row>
    <row r="39" spans="1:17" x14ac:dyDescent="0.25">
      <c r="B39" s="25" t="s">
        <v>67</v>
      </c>
      <c r="K39" s="43"/>
    </row>
    <row r="40" spans="1:17" x14ac:dyDescent="0.25">
      <c r="B40" s="25"/>
      <c r="K40" s="43"/>
    </row>
    <row r="41" spans="1:17" x14ac:dyDescent="0.25">
      <c r="B41" s="25" t="s">
        <v>29</v>
      </c>
    </row>
    <row r="42" spans="1:17" x14ac:dyDescent="0.25">
      <c r="B42" s="25" t="s">
        <v>78</v>
      </c>
    </row>
    <row r="44" spans="1:17" x14ac:dyDescent="0.25">
      <c r="B44" s="16" t="s">
        <v>77</v>
      </c>
    </row>
  </sheetData>
  <mergeCells count="3">
    <mergeCell ref="B1:K1"/>
    <mergeCell ref="M5:N5"/>
    <mergeCell ref="M23:N23"/>
  </mergeCells>
  <dataValidations count="1">
    <dataValidation type="list" allowBlank="1" showInputMessage="1" showErrorMessage="1" sqref="C23 C5" xr:uid="{00000000-0002-0000-0000-000000000000}">
      <formula1>$P$8:$P$17</formula1>
    </dataValidation>
  </dataValidations>
  <hyperlinks>
    <hyperlink ref="B8" location="Keystone!A1" display="Keystone!A1" xr:uid="{00000000-0004-0000-0000-000000000000}"/>
    <hyperlink ref="B26" location="Keystone!A1" display="Keystone!A1" xr:uid="{00000000-0004-0000-0000-000001000000}"/>
    <hyperlink ref="B9" location="PrairieLakes!A1" display="PrairieLakes!A1" xr:uid="{00000000-0004-0000-0000-000002000000}"/>
    <hyperlink ref="B27" location="PrairieLakes!A1" display="PrairieLakes!A1" xr:uid="{00000000-0004-0000-0000-000003000000}"/>
    <hyperlink ref="B10" location="CentralRivers!A1" display="CentralRivers!A1" xr:uid="{00000000-0004-0000-0000-000004000000}"/>
    <hyperlink ref="B28" location="CentralRivers!A1" display="CentralRivers!A1" xr:uid="{00000000-0004-0000-0000-000005000000}"/>
    <hyperlink ref="B11" location="Miss_Bend!A1" display="Miss_Bend!A1" xr:uid="{00000000-0004-0000-0000-000006000000}"/>
    <hyperlink ref="B29" location="Miss_Bend!A1" display="Miss_Bend!A1" xr:uid="{00000000-0004-0000-0000-000007000000}"/>
    <hyperlink ref="B12" location="GrantWood!A1" display="GrantWood!A1" xr:uid="{00000000-0004-0000-0000-000008000000}"/>
    <hyperlink ref="B30" location="GrantWood!A1" display="GrantWood!A1" xr:uid="{00000000-0004-0000-0000-000009000000}"/>
    <hyperlink ref="B13" location="Heartland!A1" display="Heartland!A1" xr:uid="{00000000-0004-0000-0000-00000A000000}"/>
    <hyperlink ref="B31" location="Heartland!A1" display="Heartland!A1" xr:uid="{00000000-0004-0000-0000-00000B000000}"/>
    <hyperlink ref="B14" location="Northwest!A1" display="Northwest!A1" xr:uid="{00000000-0004-0000-0000-00000C000000}"/>
    <hyperlink ref="B32" location="Northwest!A1" display="Northwest!A1" xr:uid="{00000000-0004-0000-0000-00000D000000}"/>
    <hyperlink ref="B15" location="GreenHills!A1" display="GreenHills!A1" xr:uid="{00000000-0004-0000-0000-00000E000000}"/>
    <hyperlink ref="B33" location="GreenHills!A1" display="GreenHills!A1" xr:uid="{00000000-0004-0000-0000-00000F000000}"/>
    <hyperlink ref="B34" location="GreatPrairie!A1" display="GreatPrairie!A1" xr:uid="{00000000-0004-0000-0000-000010000000}"/>
    <hyperlink ref="B16" location="GreatPrairie!A1" display="GreatPrairie!A1" xr:uid="{00000000-0004-0000-0000-000011000000}"/>
  </hyperlinks>
  <pageMargins left="0.7" right="0.7" top="0.49" bottom="0.41" header="0.3" footer="0.17"/>
  <pageSetup scale="68" orientation="landscape" r:id="rId1"/>
  <headerFooter>
    <oddFooter>&amp;LIASB:  &amp;F 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8"/>
  <sheetViews>
    <sheetView workbookViewId="0">
      <selection activeCell="I25" sqref="I25"/>
    </sheetView>
  </sheetViews>
  <sheetFormatPr defaultRowHeight="15" x14ac:dyDescent="0.25"/>
  <cols>
    <col min="1" max="1" width="4.140625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3.140625" bestFit="1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11268398</v>
      </c>
      <c r="G3" s="1">
        <v>8035</v>
      </c>
      <c r="H3" s="1">
        <v>1978820</v>
      </c>
      <c r="I3" s="1">
        <v>2204327</v>
      </c>
      <c r="J3" s="1">
        <v>0</v>
      </c>
      <c r="K3" s="1">
        <v>1115693</v>
      </c>
      <c r="L3" s="1">
        <v>121136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11789075</v>
      </c>
      <c r="G4" s="1">
        <v>68848</v>
      </c>
      <c r="H4" s="1">
        <v>2009484</v>
      </c>
      <c r="I4" s="1">
        <v>2250675</v>
      </c>
      <c r="J4" s="1">
        <v>0</v>
      </c>
      <c r="K4" s="1">
        <v>1249690</v>
      </c>
      <c r="L4" s="1">
        <v>148566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23930204</v>
      </c>
      <c r="G5" s="1">
        <v>104144</v>
      </c>
      <c r="H5" s="1">
        <v>4040757</v>
      </c>
      <c r="I5" s="1">
        <v>4504891</v>
      </c>
      <c r="J5" s="1">
        <v>0</v>
      </c>
      <c r="K5" s="1">
        <v>2958981</v>
      </c>
      <c r="L5" s="1">
        <v>340695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17435132</v>
      </c>
      <c r="G6" s="1">
        <v>71246</v>
      </c>
      <c r="H6" s="1">
        <v>3003391</v>
      </c>
      <c r="I6" s="1">
        <v>3282126</v>
      </c>
      <c r="J6" s="1">
        <v>0</v>
      </c>
      <c r="K6" s="1">
        <v>1602861</v>
      </c>
      <c r="L6" s="1">
        <v>188112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26058722</v>
      </c>
      <c r="G7" s="1">
        <v>70155</v>
      </c>
      <c r="H7" s="1">
        <v>4602989</v>
      </c>
      <c r="I7" s="1">
        <v>5059899</v>
      </c>
      <c r="J7" s="1">
        <v>0</v>
      </c>
      <c r="K7" s="1">
        <v>2468847</v>
      </c>
      <c r="L7" s="1">
        <v>287550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52811153</v>
      </c>
      <c r="G8" s="1">
        <v>19159</v>
      </c>
      <c r="H8" s="1">
        <v>9475679</v>
      </c>
      <c r="I8" s="1">
        <v>10408960</v>
      </c>
      <c r="J8" s="1">
        <v>0</v>
      </c>
      <c r="K8" s="1">
        <v>4501010</v>
      </c>
      <c r="L8" s="1">
        <v>564446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15655559</v>
      </c>
      <c r="G9" s="1">
        <v>27637</v>
      </c>
      <c r="H9" s="1">
        <v>2839565</v>
      </c>
      <c r="I9" s="1">
        <v>3179407</v>
      </c>
      <c r="J9" s="1">
        <v>0</v>
      </c>
      <c r="K9" s="1">
        <v>1577541</v>
      </c>
      <c r="L9" s="1">
        <v>188096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14379959</v>
      </c>
      <c r="G10" s="1">
        <v>42124</v>
      </c>
      <c r="H10" s="1">
        <v>2364614</v>
      </c>
      <c r="I10" s="1">
        <v>2614063</v>
      </c>
      <c r="J10" s="1">
        <v>0</v>
      </c>
      <c r="K10" s="1">
        <v>1477849</v>
      </c>
      <c r="L10" s="1">
        <v>159538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12860237</v>
      </c>
      <c r="G11" s="1">
        <v>76305</v>
      </c>
      <c r="H11" s="1">
        <v>2185650</v>
      </c>
      <c r="I11" s="1">
        <v>2402322</v>
      </c>
      <c r="J11" s="1">
        <v>0</v>
      </c>
      <c r="K11" s="1">
        <v>1294619</v>
      </c>
      <c r="L11" s="1">
        <v>141964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186188439</v>
      </c>
      <c r="G13">
        <f t="shared" ref="G13:O13" si="0">SUM(G2:G11)</f>
        <v>487653</v>
      </c>
      <c r="H13">
        <f t="shared" si="0"/>
        <v>32500949</v>
      </c>
      <c r="I13">
        <f t="shared" si="0"/>
        <v>35906670</v>
      </c>
      <c r="J13">
        <f t="shared" si="0"/>
        <v>0</v>
      </c>
      <c r="K13">
        <f t="shared" si="0"/>
        <v>18247091</v>
      </c>
      <c r="L13">
        <f t="shared" si="0"/>
        <v>2140103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267970904</v>
      </c>
    </row>
    <row r="15" spans="2:17" x14ac:dyDescent="0.25">
      <c r="M15">
        <f>FYXX_0!M15</f>
        <v>24557131</v>
      </c>
      <c r="O15">
        <f>(SUM(F13:L13))-M13</f>
        <v>267970904</v>
      </c>
      <c r="Q15">
        <f>F13+G13+H13+I13+J13+K13+L13-M15</f>
        <v>250913774</v>
      </c>
    </row>
    <row r="16" spans="2:17" x14ac:dyDescent="0.25">
      <c r="O16">
        <f>O15-Driver!K18</f>
        <v>2256635</v>
      </c>
    </row>
    <row r="17" spans="1:17" x14ac:dyDescent="0.25">
      <c r="D17" s="58" t="s">
        <v>63</v>
      </c>
      <c r="E17" s="58"/>
      <c r="F17" s="57">
        <f>F13-FY_2023!F14</f>
        <v>6939923</v>
      </c>
      <c r="G17" s="57">
        <f>G13-FY_2023!G14</f>
        <v>-473985</v>
      </c>
      <c r="H17" s="57">
        <f>H13-FY_2023!H14</f>
        <v>1150355</v>
      </c>
      <c r="I17" s="57">
        <f>I13-FY_2023!I14</f>
        <v>1269919</v>
      </c>
      <c r="J17" s="57">
        <f>J13-FY_2023!J14</f>
        <v>-210007</v>
      </c>
      <c r="K17" s="57">
        <f>K13-FY_2023!K14</f>
        <v>688952</v>
      </c>
      <c r="L17" s="57">
        <f>L13-FY_2023!L14</f>
        <v>82972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9448129</v>
      </c>
    </row>
    <row r="18" spans="1:17" x14ac:dyDescent="0.25">
      <c r="A18" t="s">
        <v>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"/>
  <sheetViews>
    <sheetView workbookViewId="0">
      <selection activeCell="M19" sqref="M19"/>
    </sheetView>
  </sheetViews>
  <sheetFormatPr defaultRowHeight="15" x14ac:dyDescent="0.25"/>
  <cols>
    <col min="1" max="1" width="5.28515625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3.140625" bestFit="1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11320264</v>
      </c>
      <c r="G3" s="1">
        <v>6130</v>
      </c>
      <c r="H3" s="1">
        <v>1988599</v>
      </c>
      <c r="I3" s="1">
        <v>2215052</v>
      </c>
      <c r="J3" s="1">
        <v>0</v>
      </c>
      <c r="K3" s="1">
        <v>1121169</v>
      </c>
      <c r="L3" s="1">
        <v>121781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11844005</v>
      </c>
      <c r="G4" s="1">
        <v>61272</v>
      </c>
      <c r="H4" s="1">
        <v>2019400</v>
      </c>
      <c r="I4" s="1">
        <v>2261552</v>
      </c>
      <c r="J4" s="1">
        <v>0</v>
      </c>
      <c r="K4" s="1">
        <v>1255301</v>
      </c>
      <c r="L4" s="1">
        <v>149226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24043898</v>
      </c>
      <c r="G5" s="1">
        <v>88745</v>
      </c>
      <c r="H5" s="1">
        <v>4060711</v>
      </c>
      <c r="I5" s="1">
        <v>4526780</v>
      </c>
      <c r="J5" s="1">
        <v>0</v>
      </c>
      <c r="K5" s="1">
        <v>2970404</v>
      </c>
      <c r="L5" s="1">
        <v>342039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17518546</v>
      </c>
      <c r="G6" s="1">
        <v>39698</v>
      </c>
      <c r="H6" s="1">
        <v>3018344</v>
      </c>
      <c r="I6" s="1">
        <v>3298523</v>
      </c>
      <c r="J6" s="1">
        <v>0</v>
      </c>
      <c r="K6" s="1">
        <v>1611544</v>
      </c>
      <c r="L6" s="1">
        <v>189133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26184110</v>
      </c>
      <c r="G7" s="1">
        <v>63085</v>
      </c>
      <c r="H7" s="1">
        <v>4625833</v>
      </c>
      <c r="I7" s="1">
        <v>5084955</v>
      </c>
      <c r="J7" s="1">
        <v>0</v>
      </c>
      <c r="K7" s="1">
        <v>2481594</v>
      </c>
      <c r="L7" s="1">
        <v>289051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53070770</v>
      </c>
      <c r="G8" s="1">
        <v>15656</v>
      </c>
      <c r="H8" s="1">
        <v>9522803</v>
      </c>
      <c r="I8" s="1">
        <v>10460641</v>
      </c>
      <c r="J8" s="1">
        <v>0</v>
      </c>
      <c r="K8" s="1">
        <v>4528283</v>
      </c>
      <c r="L8" s="1">
        <v>567648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15729231</v>
      </c>
      <c r="G9" s="1">
        <v>24225</v>
      </c>
      <c r="H9" s="1">
        <v>2853592</v>
      </c>
      <c r="I9" s="1">
        <v>3194790</v>
      </c>
      <c r="J9" s="1">
        <v>0</v>
      </c>
      <c r="K9" s="1">
        <v>1585245</v>
      </c>
      <c r="L9" s="1">
        <v>189000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14448952</v>
      </c>
      <c r="G10" s="1">
        <v>35206</v>
      </c>
      <c r="H10" s="1">
        <v>2376347</v>
      </c>
      <c r="I10" s="1">
        <v>2626927</v>
      </c>
      <c r="J10" s="1">
        <v>0</v>
      </c>
      <c r="K10" s="1">
        <v>1484673</v>
      </c>
      <c r="L10" s="1">
        <v>160352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12922428</v>
      </c>
      <c r="G11" s="1">
        <v>69866</v>
      </c>
      <c r="H11" s="1">
        <v>2196504</v>
      </c>
      <c r="I11" s="1">
        <v>2414227</v>
      </c>
      <c r="J11" s="1">
        <v>0</v>
      </c>
      <c r="K11" s="1">
        <v>1300745</v>
      </c>
      <c r="L11" s="1">
        <v>142696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187082204</v>
      </c>
      <c r="G13">
        <f t="shared" ref="G13:O13" si="0">SUM(G2:G11)</f>
        <v>403883</v>
      </c>
      <c r="H13">
        <f t="shared" si="0"/>
        <v>32662133</v>
      </c>
      <c r="I13">
        <f t="shared" si="0"/>
        <v>36083447</v>
      </c>
      <c r="J13">
        <f t="shared" si="0"/>
        <v>0</v>
      </c>
      <c r="K13">
        <f t="shared" si="0"/>
        <v>18338958</v>
      </c>
      <c r="L13">
        <f t="shared" si="0"/>
        <v>2150926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269221550</v>
      </c>
    </row>
    <row r="15" spans="2:17" x14ac:dyDescent="0.25">
      <c r="M15">
        <f>FYXX_0!M15</f>
        <v>24557131</v>
      </c>
      <c r="O15">
        <f>(SUM(F13:L13))-M13</f>
        <v>269221550</v>
      </c>
      <c r="Q15">
        <f>F13+G13+H13+I13+J13+K13+L13-M15</f>
        <v>252164420</v>
      </c>
    </row>
    <row r="16" spans="2:17" x14ac:dyDescent="0.25">
      <c r="O16">
        <f>O15-Driver!K18</f>
        <v>3507281</v>
      </c>
    </row>
    <row r="17" spans="1:17" x14ac:dyDescent="0.25">
      <c r="D17" s="58" t="s">
        <v>63</v>
      </c>
      <c r="E17" s="58"/>
      <c r="F17" s="57">
        <f>F13-FY_2023!F14</f>
        <v>7833688</v>
      </c>
      <c r="G17" s="57">
        <f>G13-FY_2023!G14</f>
        <v>-557755</v>
      </c>
      <c r="H17" s="57">
        <f>H13-FY_2023!H14</f>
        <v>1311539</v>
      </c>
      <c r="I17" s="57">
        <f>I13-FY_2023!I14</f>
        <v>1446696</v>
      </c>
      <c r="J17" s="57">
        <f>J13-FY_2023!J14</f>
        <v>-210007</v>
      </c>
      <c r="K17" s="57">
        <f>K13-FY_2023!K14</f>
        <v>780819</v>
      </c>
      <c r="L17" s="57">
        <f>L13-FY_2023!L14</f>
        <v>93795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10698775</v>
      </c>
    </row>
    <row r="18" spans="1:17" x14ac:dyDescent="0.25">
      <c r="A18" t="s">
        <v>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B12"/>
  <sheetViews>
    <sheetView workbookViewId="0">
      <selection activeCell="E8" sqref="E8"/>
    </sheetView>
  </sheetViews>
  <sheetFormatPr defaultRowHeight="15" x14ac:dyDescent="0.25"/>
  <cols>
    <col min="2" max="2" width="20.85546875" bestFit="1" customWidth="1"/>
  </cols>
  <sheetData>
    <row r="3" spans="1:2" x14ac:dyDescent="0.25">
      <c r="A3" t="s">
        <v>13</v>
      </c>
      <c r="B3" t="s">
        <v>14</v>
      </c>
    </row>
    <row r="4" spans="1:2" x14ac:dyDescent="0.25">
      <c r="A4">
        <v>1</v>
      </c>
      <c r="B4" t="s">
        <v>55</v>
      </c>
    </row>
    <row r="5" spans="1:2" x14ac:dyDescent="0.25">
      <c r="A5">
        <v>5</v>
      </c>
      <c r="B5" t="s">
        <v>56</v>
      </c>
    </row>
    <row r="6" spans="1:2" x14ac:dyDescent="0.25">
      <c r="A6">
        <v>7</v>
      </c>
      <c r="B6" t="s">
        <v>57</v>
      </c>
    </row>
    <row r="7" spans="1:2" x14ac:dyDescent="0.25">
      <c r="A7">
        <v>9</v>
      </c>
      <c r="B7" t="s">
        <v>58</v>
      </c>
    </row>
    <row r="8" spans="1:2" x14ac:dyDescent="0.25">
      <c r="A8">
        <v>10</v>
      </c>
      <c r="B8" t="s">
        <v>59</v>
      </c>
    </row>
    <row r="9" spans="1:2" x14ac:dyDescent="0.25">
      <c r="A9">
        <v>11</v>
      </c>
      <c r="B9" t="s">
        <v>60</v>
      </c>
    </row>
    <row r="10" spans="1:2" x14ac:dyDescent="0.25">
      <c r="A10">
        <v>12</v>
      </c>
      <c r="B10" t="s">
        <v>15</v>
      </c>
    </row>
    <row r="11" spans="1:2" x14ac:dyDescent="0.25">
      <c r="A11">
        <v>13</v>
      </c>
      <c r="B11" t="s">
        <v>61</v>
      </c>
    </row>
    <row r="12" spans="1:2" x14ac:dyDescent="0.25">
      <c r="A12">
        <v>15</v>
      </c>
      <c r="B12" t="s">
        <v>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6"/>
  <sheetViews>
    <sheetView topLeftCell="B1" workbookViewId="0">
      <selection activeCell="B2" sqref="B2:O11"/>
    </sheetView>
  </sheetViews>
  <sheetFormatPr defaultRowHeight="15" x14ac:dyDescent="0.25"/>
  <cols>
    <col min="6" max="6" width="10" bestFit="1" customWidth="1"/>
    <col min="7" max="7" width="13.7109375" bestFit="1" customWidth="1"/>
    <col min="17" max="17" width="10" bestFit="1" customWidth="1"/>
  </cols>
  <sheetData>
    <row r="1" spans="2:19" ht="15.75" thickBot="1" x14ac:dyDescent="0.3">
      <c r="B1" s="48" t="s">
        <v>33</v>
      </c>
      <c r="C1" s="48"/>
      <c r="S1" s="4">
        <v>1.014</v>
      </c>
    </row>
    <row r="2" spans="2:19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43</v>
      </c>
      <c r="G2" s="45" t="s">
        <v>44</v>
      </c>
      <c r="H2" s="45" t="s">
        <v>45</v>
      </c>
      <c r="I2" s="45" t="s">
        <v>46</v>
      </c>
      <c r="J2" s="45" t="s">
        <v>47</v>
      </c>
      <c r="K2" s="45" t="s">
        <v>48</v>
      </c>
      <c r="L2" s="45" t="s">
        <v>49</v>
      </c>
      <c r="M2" s="45" t="s">
        <v>50</v>
      </c>
      <c r="N2" s="45" t="s">
        <v>51</v>
      </c>
      <c r="O2" s="45" t="s">
        <v>52</v>
      </c>
      <c r="P2" s="2"/>
    </row>
    <row r="3" spans="2:19" x14ac:dyDescent="0.25">
      <c r="B3" s="46">
        <v>1</v>
      </c>
      <c r="C3" s="1">
        <v>1</v>
      </c>
      <c r="D3" s="1">
        <v>0</v>
      </c>
      <c r="E3" s="1">
        <v>21</v>
      </c>
      <c r="F3" s="1">
        <v>10892639</v>
      </c>
      <c r="G3" s="1">
        <v>32188</v>
      </c>
      <c r="H3" s="1">
        <v>1916940</v>
      </c>
      <c r="I3" s="1">
        <v>2136044</v>
      </c>
      <c r="J3" s="1">
        <v>30002</v>
      </c>
      <c r="K3" s="1">
        <v>1078327</v>
      </c>
      <c r="L3" s="1">
        <v>116624</v>
      </c>
      <c r="M3" s="1">
        <v>1713114</v>
      </c>
      <c r="N3" s="1">
        <v>32186.75</v>
      </c>
      <c r="O3" s="1">
        <v>31617</v>
      </c>
      <c r="P3" s="1"/>
      <c r="R3">
        <f>F3+G3</f>
        <v>10924827</v>
      </c>
      <c r="S3">
        <f>R3*$S$1</f>
        <v>11077774.578</v>
      </c>
    </row>
    <row r="4" spans="2:19" x14ac:dyDescent="0.25">
      <c r="B4" s="46">
        <v>2</v>
      </c>
      <c r="C4" s="1">
        <v>5</v>
      </c>
      <c r="D4" s="1">
        <v>0</v>
      </c>
      <c r="E4" s="1">
        <v>38</v>
      </c>
      <c r="F4" s="1">
        <v>11385351</v>
      </c>
      <c r="G4" s="1">
        <v>119140</v>
      </c>
      <c r="H4" s="1">
        <v>1942415</v>
      </c>
      <c r="I4" s="1">
        <v>2176620</v>
      </c>
      <c r="J4" s="1">
        <v>0</v>
      </c>
      <c r="K4" s="1">
        <v>1211494</v>
      </c>
      <c r="L4" s="1">
        <v>143978</v>
      </c>
      <c r="M4" s="1">
        <v>1841660</v>
      </c>
      <c r="N4" s="1">
        <v>34070.54</v>
      </c>
      <c r="O4" s="1">
        <v>31995</v>
      </c>
      <c r="P4" s="1"/>
      <c r="R4">
        <f t="shared" ref="R4:R11" si="0">F4+G4</f>
        <v>11504491</v>
      </c>
      <c r="S4">
        <f t="shared" ref="S4:S11" si="1">R4*$S$1</f>
        <v>11665553.874</v>
      </c>
    </row>
    <row r="5" spans="2:19" x14ac:dyDescent="0.25">
      <c r="B5" s="46">
        <v>3</v>
      </c>
      <c r="C5" s="1">
        <v>7</v>
      </c>
      <c r="D5" s="1">
        <v>0</v>
      </c>
      <c r="E5" s="1">
        <v>53</v>
      </c>
      <c r="F5" s="1">
        <v>23140792</v>
      </c>
      <c r="G5" s="1">
        <v>228348</v>
      </c>
      <c r="H5" s="1">
        <v>3916147</v>
      </c>
      <c r="I5" s="1">
        <v>4367412</v>
      </c>
      <c r="J5" s="1">
        <v>30001</v>
      </c>
      <c r="K5" s="1">
        <v>2880300</v>
      </c>
      <c r="L5" s="1">
        <v>331234</v>
      </c>
      <c r="M5" s="1">
        <v>3478978</v>
      </c>
      <c r="N5" s="1">
        <v>70650.28</v>
      </c>
      <c r="O5" s="1">
        <v>64559</v>
      </c>
      <c r="P5" s="1"/>
      <c r="R5">
        <f t="shared" si="0"/>
        <v>23369140</v>
      </c>
      <c r="S5">
        <f t="shared" si="1"/>
        <v>23696307.960000001</v>
      </c>
    </row>
    <row r="6" spans="2:19" x14ac:dyDescent="0.25">
      <c r="B6" s="46">
        <v>4</v>
      </c>
      <c r="C6" s="1">
        <v>9</v>
      </c>
      <c r="D6" s="1">
        <v>0</v>
      </c>
      <c r="E6" s="1">
        <v>21</v>
      </c>
      <c r="F6" s="1">
        <v>16928684</v>
      </c>
      <c r="G6" s="1">
        <v>184554</v>
      </c>
      <c r="H6" s="1">
        <v>2921615</v>
      </c>
      <c r="I6" s="1">
        <v>3191586</v>
      </c>
      <c r="J6" s="1">
        <v>30001</v>
      </c>
      <c r="K6" s="1">
        <v>1551088</v>
      </c>
      <c r="L6" s="1">
        <v>181851</v>
      </c>
      <c r="M6" s="1">
        <v>2473263</v>
      </c>
      <c r="N6" s="1">
        <v>52059.42</v>
      </c>
      <c r="O6" s="1">
        <v>48556</v>
      </c>
      <c r="P6" s="1"/>
      <c r="R6">
        <f t="shared" si="0"/>
        <v>17113238</v>
      </c>
      <c r="S6">
        <f t="shared" si="1"/>
        <v>17352823.331999999</v>
      </c>
    </row>
    <row r="7" spans="2:19" x14ac:dyDescent="0.25">
      <c r="B7" s="46">
        <v>5</v>
      </c>
      <c r="C7" s="1">
        <v>10</v>
      </c>
      <c r="D7" s="1">
        <v>0</v>
      </c>
      <c r="E7" s="1">
        <v>32</v>
      </c>
      <c r="F7" s="1">
        <v>25113798</v>
      </c>
      <c r="G7" s="1">
        <v>100491</v>
      </c>
      <c r="H7" s="1">
        <v>4444716</v>
      </c>
      <c r="I7" s="1">
        <v>4885140</v>
      </c>
      <c r="J7" s="1">
        <v>30000</v>
      </c>
      <c r="K7" s="1">
        <v>2373182</v>
      </c>
      <c r="L7" s="1">
        <v>276066</v>
      </c>
      <c r="M7" s="1">
        <v>3182392</v>
      </c>
      <c r="N7" s="1">
        <v>77689.149999999994</v>
      </c>
      <c r="O7" s="1">
        <v>73649</v>
      </c>
      <c r="P7" s="1"/>
      <c r="R7">
        <f t="shared" si="0"/>
        <v>25214289</v>
      </c>
      <c r="S7">
        <f t="shared" si="1"/>
        <v>25567289.046</v>
      </c>
    </row>
    <row r="8" spans="2:19" x14ac:dyDescent="0.25">
      <c r="B8" s="46">
        <v>6</v>
      </c>
      <c r="C8" s="1">
        <v>11</v>
      </c>
      <c r="D8" s="1">
        <v>0</v>
      </c>
      <c r="E8" s="1">
        <v>53</v>
      </c>
      <c r="F8" s="1">
        <v>50456211</v>
      </c>
      <c r="G8" s="1">
        <v>67805</v>
      </c>
      <c r="H8" s="1">
        <v>9077623</v>
      </c>
      <c r="I8" s="1">
        <v>9969861</v>
      </c>
      <c r="J8" s="1">
        <v>0</v>
      </c>
      <c r="K8" s="1">
        <v>4270230</v>
      </c>
      <c r="L8" s="1">
        <v>536419</v>
      </c>
      <c r="M8" s="1">
        <v>5681091</v>
      </c>
      <c r="N8" s="1">
        <v>159590.75</v>
      </c>
      <c r="O8" s="1">
        <v>150716</v>
      </c>
      <c r="P8" s="1"/>
      <c r="R8">
        <f t="shared" si="0"/>
        <v>50524016</v>
      </c>
      <c r="S8">
        <f t="shared" si="1"/>
        <v>51231352.223999999</v>
      </c>
    </row>
    <row r="9" spans="2:19" x14ac:dyDescent="0.25">
      <c r="B9" s="46">
        <v>7</v>
      </c>
      <c r="C9" s="1">
        <v>12</v>
      </c>
      <c r="D9" s="1">
        <v>0</v>
      </c>
      <c r="E9" s="1">
        <v>34</v>
      </c>
      <c r="F9" s="1">
        <v>15155113</v>
      </c>
      <c r="G9" s="1">
        <v>59137</v>
      </c>
      <c r="H9" s="1">
        <v>2742807</v>
      </c>
      <c r="I9" s="1">
        <v>3072541</v>
      </c>
      <c r="J9" s="1">
        <v>30001</v>
      </c>
      <c r="K9" s="1">
        <v>1529140</v>
      </c>
      <c r="L9" s="1">
        <v>182276</v>
      </c>
      <c r="M9" s="1">
        <v>2111383</v>
      </c>
      <c r="N9" s="1">
        <v>45813.52</v>
      </c>
      <c r="O9" s="1">
        <v>45231</v>
      </c>
      <c r="P9" s="1"/>
      <c r="R9">
        <f t="shared" si="0"/>
        <v>15214250</v>
      </c>
      <c r="S9">
        <f t="shared" si="1"/>
        <v>15427249.5</v>
      </c>
    </row>
    <row r="10" spans="2:19" x14ac:dyDescent="0.25">
      <c r="B10" s="46">
        <v>8</v>
      </c>
      <c r="C10" s="1">
        <v>13</v>
      </c>
      <c r="D10" s="1">
        <v>0</v>
      </c>
      <c r="E10" s="1">
        <v>43</v>
      </c>
      <c r="F10" s="1">
        <v>13777070</v>
      </c>
      <c r="G10" s="1">
        <v>83363</v>
      </c>
      <c r="H10" s="1">
        <v>2274728</v>
      </c>
      <c r="I10" s="1">
        <v>2514787</v>
      </c>
      <c r="J10" s="1">
        <v>30001</v>
      </c>
      <c r="K10" s="1">
        <v>1417195</v>
      </c>
      <c r="L10" s="1">
        <v>152387</v>
      </c>
      <c r="M10" s="1">
        <v>2111676</v>
      </c>
      <c r="N10" s="1">
        <v>42492.97</v>
      </c>
      <c r="O10" s="1">
        <v>37686</v>
      </c>
      <c r="P10" s="1"/>
      <c r="R10">
        <f t="shared" si="0"/>
        <v>13860433</v>
      </c>
      <c r="S10">
        <f t="shared" si="1"/>
        <v>14054479.062000001</v>
      </c>
    </row>
    <row r="11" spans="2:19" x14ac:dyDescent="0.25">
      <c r="B11" s="46">
        <v>9</v>
      </c>
      <c r="C11" s="1">
        <v>15</v>
      </c>
      <c r="D11" s="1">
        <v>0</v>
      </c>
      <c r="E11" s="1">
        <v>32</v>
      </c>
      <c r="F11" s="1">
        <v>12398858</v>
      </c>
      <c r="G11" s="1">
        <v>86612</v>
      </c>
      <c r="H11" s="1">
        <v>2113603</v>
      </c>
      <c r="I11" s="1">
        <v>2322760</v>
      </c>
      <c r="J11" s="1">
        <v>30001</v>
      </c>
      <c r="K11" s="1">
        <v>1247183</v>
      </c>
      <c r="L11" s="1">
        <v>136296</v>
      </c>
      <c r="M11" s="1">
        <v>1963574</v>
      </c>
      <c r="N11" s="1">
        <v>38556.06</v>
      </c>
      <c r="O11" s="1">
        <v>35034</v>
      </c>
      <c r="P11" s="1"/>
      <c r="R11">
        <f t="shared" si="0"/>
        <v>12485470</v>
      </c>
      <c r="S11">
        <f t="shared" si="1"/>
        <v>12660266.58</v>
      </c>
    </row>
    <row r="12" spans="2:19" x14ac:dyDescent="0.25">
      <c r="M12">
        <f>SUM(M3:M11)</f>
        <v>24557131</v>
      </c>
    </row>
    <row r="14" spans="2:19" x14ac:dyDescent="0.25">
      <c r="B14" t="s">
        <v>72</v>
      </c>
      <c r="D14" s="7"/>
      <c r="F14">
        <f>SUM(F3:F12)</f>
        <v>179248516</v>
      </c>
      <c r="G14">
        <f t="shared" ref="G14:O14" si="2">SUM(G3:G12)</f>
        <v>961638</v>
      </c>
      <c r="H14">
        <f t="shared" si="2"/>
        <v>31350594</v>
      </c>
      <c r="I14">
        <f t="shared" si="2"/>
        <v>34636751</v>
      </c>
      <c r="J14">
        <f t="shared" si="2"/>
        <v>210007</v>
      </c>
      <c r="K14">
        <f t="shared" si="2"/>
        <v>17558139</v>
      </c>
      <c r="L14">
        <f t="shared" si="2"/>
        <v>2057131</v>
      </c>
      <c r="M14">
        <f t="shared" si="2"/>
        <v>49114262</v>
      </c>
      <c r="N14">
        <f t="shared" si="2"/>
        <v>553109.43999999994</v>
      </c>
      <c r="O14">
        <f t="shared" si="2"/>
        <v>519043</v>
      </c>
      <c r="Q14">
        <f>F14+G14+H14+I14+J14+K14+L14-M12</f>
        <v>241465645</v>
      </c>
    </row>
    <row r="15" spans="2:19" ht="15.75" thickBot="1" x14ac:dyDescent="0.3"/>
    <row r="16" spans="2:19" x14ac:dyDescent="0.25">
      <c r="C16" s="2"/>
      <c r="D16" s="2"/>
      <c r="E16" s="2"/>
      <c r="F16" s="18"/>
    </row>
    <row r="17" spans="3:7" x14ac:dyDescent="0.25">
      <c r="C17" s="1"/>
      <c r="D17" s="1"/>
      <c r="E17" s="1"/>
      <c r="G17" s="3"/>
    </row>
    <row r="18" spans="3:7" x14ac:dyDescent="0.25">
      <c r="C18" s="1"/>
      <c r="D18" s="1"/>
      <c r="E18" s="1"/>
      <c r="G18" s="3"/>
    </row>
    <row r="19" spans="3:7" x14ac:dyDescent="0.25">
      <c r="C19" s="1"/>
      <c r="D19" s="1"/>
      <c r="E19" s="1"/>
      <c r="G19" s="3"/>
    </row>
    <row r="20" spans="3:7" x14ac:dyDescent="0.25">
      <c r="C20" s="1"/>
      <c r="D20" s="1"/>
      <c r="E20" s="1"/>
      <c r="G20" s="3"/>
    </row>
    <row r="21" spans="3:7" x14ac:dyDescent="0.25">
      <c r="C21" s="1"/>
      <c r="D21" s="1"/>
      <c r="E21" s="1"/>
      <c r="G21" s="3"/>
    </row>
    <row r="22" spans="3:7" x14ac:dyDescent="0.25">
      <c r="C22" s="1"/>
      <c r="D22" s="1"/>
      <c r="E22" s="1"/>
      <c r="G22" s="3"/>
    </row>
    <row r="23" spans="3:7" x14ac:dyDescent="0.25">
      <c r="C23" s="1"/>
      <c r="D23" s="1"/>
      <c r="E23" s="1"/>
      <c r="G23" s="3"/>
    </row>
    <row r="24" spans="3:7" x14ac:dyDescent="0.25">
      <c r="C24" s="1"/>
      <c r="D24" s="1"/>
      <c r="E24" s="1"/>
      <c r="G24" s="3"/>
    </row>
    <row r="25" spans="3:7" x14ac:dyDescent="0.25">
      <c r="C25" s="1"/>
      <c r="D25" s="1"/>
      <c r="E25" s="1"/>
      <c r="G25" s="3"/>
    </row>
    <row r="26" spans="3:7" x14ac:dyDescent="0.25">
      <c r="G26" s="3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8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7.5703125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9.7109375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0.42578125" customWidth="1"/>
    <col min="18" max="18" width="10.140625" customWidth="1"/>
  </cols>
  <sheetData>
    <row r="1" spans="1:18" ht="15.75" customHeight="1" x14ac:dyDescent="0.25">
      <c r="C1" s="65" t="s">
        <v>79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Driver!B8</f>
        <v>KEYSTONE AEA</v>
      </c>
      <c r="F3" s="62" t="s">
        <v>30</v>
      </c>
      <c r="G3" s="62"/>
    </row>
    <row r="4" spans="1:18" ht="12.6" customHeight="1" x14ac:dyDescent="0.25">
      <c r="O4" s="63" t="s">
        <v>82</v>
      </c>
      <c r="P4" s="64"/>
      <c r="Q4" s="64"/>
      <c r="R4" s="64"/>
    </row>
    <row r="5" spans="1:18" ht="60" x14ac:dyDescent="0.25">
      <c r="B5" s="8" t="s">
        <v>28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66</v>
      </c>
      <c r="H5" s="8" t="s">
        <v>22</v>
      </c>
      <c r="I5" s="8" t="s">
        <v>21</v>
      </c>
      <c r="J5" s="8" t="s">
        <v>23</v>
      </c>
      <c r="K5" s="20" t="s">
        <v>24</v>
      </c>
      <c r="L5" s="20" t="s">
        <v>83</v>
      </c>
      <c r="M5" s="20" t="s">
        <v>84</v>
      </c>
      <c r="O5" s="49" t="s">
        <v>34</v>
      </c>
      <c r="P5" s="49" t="s">
        <v>24</v>
      </c>
      <c r="Q5" s="49" t="s">
        <v>83</v>
      </c>
      <c r="R5" s="49" t="s">
        <v>84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">
        <v>80</v>
      </c>
      <c r="C7" s="3">
        <f>FY_2023!F3</f>
        <v>10892639</v>
      </c>
      <c r="D7" s="3">
        <f>FY_2023!G3</f>
        <v>32188</v>
      </c>
      <c r="E7" s="3">
        <f>FY_2023!H3</f>
        <v>1916940</v>
      </c>
      <c r="F7" s="3">
        <f>FY_2023!I3</f>
        <v>2136044</v>
      </c>
      <c r="G7" s="3">
        <f>FY_2023!J3</f>
        <v>30002</v>
      </c>
      <c r="H7" s="3">
        <f>FY_2023!K3</f>
        <v>1078327</v>
      </c>
      <c r="I7" s="3">
        <f>FY_2023!L3</f>
        <v>116624</v>
      </c>
      <c r="J7" s="3">
        <f>-FY_2023!M3</f>
        <v>-1713114</v>
      </c>
      <c r="K7" s="17">
        <f>SUM(C7:J7)</f>
        <v>14489650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">
        <v>81</v>
      </c>
      <c r="B9" s="19">
        <f>Driver!C5</f>
        <v>2.5000000000000001E-2</v>
      </c>
      <c r="C9" s="3">
        <f>Driver!C8</f>
        <v>11164012</v>
      </c>
      <c r="D9" s="3">
        <f>Driver!D8</f>
        <v>13589</v>
      </c>
      <c r="E9" s="3">
        <f>Driver!E8</f>
        <v>1959896</v>
      </c>
      <c r="F9" s="3">
        <f>Driver!F8</f>
        <v>2183512</v>
      </c>
      <c r="G9" s="3">
        <f>Driver!G8</f>
        <v>30000</v>
      </c>
      <c r="H9" s="3">
        <f>Driver!H8</f>
        <v>1105209</v>
      </c>
      <c r="I9" s="3">
        <f>Driver!I8</f>
        <v>119857</v>
      </c>
      <c r="J9" s="3">
        <f>Driver!J8</f>
        <v>-537076</v>
      </c>
      <c r="K9" s="22">
        <f>Driver!K8</f>
        <v>16038999</v>
      </c>
      <c r="L9" s="23">
        <f>K9-K7</f>
        <v>1549349</v>
      </c>
      <c r="M9" s="24">
        <f>L9/K7</f>
        <v>0.10692797962683709</v>
      </c>
      <c r="O9" s="53">
        <f>J7</f>
        <v>-1713114</v>
      </c>
      <c r="P9" s="53">
        <f>C9+D9+E9+F9+G9+H9+I9+O9</f>
        <v>14862961</v>
      </c>
      <c r="Q9" s="53">
        <f>P9-K7</f>
        <v>373311</v>
      </c>
      <c r="R9" s="51">
        <f>Q9/K7</f>
        <v>2.5763976355536539E-2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A9</f>
        <v>Est. FY 2024</v>
      </c>
      <c r="B11" s="19">
        <f>Driver!C23</f>
        <v>0</v>
      </c>
      <c r="C11" s="3">
        <f>Driver!C26</f>
        <v>10903052</v>
      </c>
      <c r="D11" s="3">
        <f>Driver!D26</f>
        <v>85792</v>
      </c>
      <c r="E11" s="3">
        <f>Driver!E26</f>
        <v>1912270</v>
      </c>
      <c r="F11" s="3">
        <f>Driver!F26</f>
        <v>2130842</v>
      </c>
      <c r="G11" s="3">
        <f>Driver!G26</f>
        <v>30000</v>
      </c>
      <c r="H11" s="3">
        <f>Driver!H26</f>
        <v>1084589</v>
      </c>
      <c r="I11" s="3">
        <f>Driver!I26</f>
        <v>117306</v>
      </c>
      <c r="J11" s="3">
        <f>Driver!J26</f>
        <v>-537076</v>
      </c>
      <c r="K11" s="22">
        <f>Driver!K26</f>
        <v>15726775</v>
      </c>
      <c r="L11" s="23">
        <f>K11-K7</f>
        <v>1237125</v>
      </c>
      <c r="M11" s="24">
        <f>L11/K7</f>
        <v>8.5379909107535373E-2</v>
      </c>
      <c r="O11" s="53">
        <f>J7</f>
        <v>-1713114</v>
      </c>
      <c r="P11" s="53">
        <f>C11+D11+E11+F11+G11+H11+I11+O11</f>
        <v>14550737</v>
      </c>
      <c r="Q11" s="53">
        <f>P11-K7</f>
        <v>61087</v>
      </c>
      <c r="R11" s="51">
        <f>Q11/K7</f>
        <v>4.2159058362348295E-3</v>
      </c>
    </row>
    <row r="13" spans="1:18" x14ac:dyDescent="0.25">
      <c r="A13" s="16" t="str">
        <f>Driver!B39</f>
        <v>*Estimates are preliminary and subject to change.</v>
      </c>
    </row>
    <row r="14" spans="1:18" x14ac:dyDescent="0.25">
      <c r="A14" s="30" t="str">
        <f>Driver!$B$41</f>
        <v>Sources:</v>
      </c>
    </row>
    <row r="15" spans="1:18" x14ac:dyDescent="0.25">
      <c r="A15" s="30" t="str">
        <f>Driver!$B$42</f>
        <v>Iowa Department of Management, School Aid file and IASB estimates (based on IASB_Schlaid_FY23_FY28_v4.3.sas).</v>
      </c>
    </row>
    <row r="16" spans="1:18" x14ac:dyDescent="0.25">
      <c r="A16" s="16"/>
    </row>
    <row r="18" spans="1:1" x14ac:dyDescent="0.25">
      <c r="A18" s="16" t="str">
        <f>Driver!$B$44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0D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17"/>
  <sheetViews>
    <sheetView workbookViewId="0">
      <selection activeCell="L23" sqref="L23"/>
    </sheetView>
  </sheetViews>
  <sheetFormatPr defaultRowHeight="15" x14ac:dyDescent="0.25"/>
  <cols>
    <col min="1" max="1" width="11.85546875" style="9" customWidth="1"/>
    <col min="2" max="2" width="8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85546875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3.42578125" customWidth="1"/>
    <col min="17" max="17" width="10.42578125" customWidth="1"/>
    <col min="18" max="18" width="10.140625" customWidth="1"/>
  </cols>
  <sheetData>
    <row r="1" spans="1:18" ht="15.75" customHeight="1" x14ac:dyDescent="0.25">
      <c r="C1" s="65" t="str">
        <f>Keystone!$C$1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Driver!B9</f>
        <v>PRAIRIE LAKES AEA</v>
      </c>
      <c r="F3" s="62" t="s">
        <v>30</v>
      </c>
      <c r="G3" s="62"/>
    </row>
    <row r="4" spans="1:18" ht="12.6" customHeight="1" x14ac:dyDescent="0.25">
      <c r="O4" s="63" t="str">
        <f>Keystone!O4</f>
        <v>If State Aid Reduction = FY 2023 Level</v>
      </c>
      <c r="P4" s="64"/>
      <c r="Q4" s="64"/>
      <c r="R4" s="64"/>
    </row>
    <row r="5" spans="1:18" ht="60" x14ac:dyDescent="0.25">
      <c r="B5" s="6" t="s">
        <v>28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22</v>
      </c>
      <c r="I5" s="8" t="s">
        <v>21</v>
      </c>
      <c r="J5" s="8" t="s">
        <v>23</v>
      </c>
      <c r="K5" s="20" t="s">
        <v>24</v>
      </c>
      <c r="L5" s="20" t="str">
        <f>Keystone!$L$5</f>
        <v>Change Compared to FY 2023</v>
      </c>
      <c r="M5" s="20" t="str">
        <f>Keystone!$M$5</f>
        <v>% Change Compared to FY 2023</v>
      </c>
      <c r="O5" s="49" t="s">
        <v>34</v>
      </c>
      <c r="P5" s="49" t="s">
        <v>24</v>
      </c>
      <c r="Q5" s="49" t="str">
        <f>Keystone!Q5</f>
        <v>Change Compared to FY 2023</v>
      </c>
      <c r="R5" s="49" t="str">
        <f>Keystone!R5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FY_2023!F4</f>
        <v>11385351</v>
      </c>
      <c r="D7" s="3">
        <f>FY_2023!G4</f>
        <v>119140</v>
      </c>
      <c r="E7" s="3">
        <f>FY_2023!H4</f>
        <v>1942415</v>
      </c>
      <c r="F7" s="3">
        <f>FY_2023!I4</f>
        <v>2176620</v>
      </c>
      <c r="G7" s="3">
        <f>FY_2023!J4</f>
        <v>0</v>
      </c>
      <c r="H7" s="3">
        <f>FY_2023!K4</f>
        <v>1211494</v>
      </c>
      <c r="I7" s="3">
        <f>FY_2023!L4</f>
        <v>143978</v>
      </c>
      <c r="J7" s="3">
        <f>-FY_2023!M4</f>
        <v>-1841660</v>
      </c>
      <c r="K7" s="17">
        <f>SUM(C7:J7)</f>
        <v>15137338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Driver!C9</f>
        <v>11678523</v>
      </c>
      <c r="D9" s="3">
        <f>Driver!D9</f>
        <v>95144</v>
      </c>
      <c r="E9" s="3">
        <f>Driver!E9</f>
        <v>1990292</v>
      </c>
      <c r="F9" s="3">
        <f>Driver!F9</f>
        <v>2229564</v>
      </c>
      <c r="G9" s="3">
        <f>Driver!G9</f>
        <v>0</v>
      </c>
      <c r="H9" s="3">
        <f>Driver!H9</f>
        <v>1240021</v>
      </c>
      <c r="I9" s="3">
        <f>Driver!I9</f>
        <v>147386</v>
      </c>
      <c r="J9" s="3">
        <f>Driver!J9</f>
        <v>-572744</v>
      </c>
      <c r="K9" s="22">
        <f>SUM(C9:J9)</f>
        <v>16808186</v>
      </c>
      <c r="L9" s="23">
        <f>K9-K7</f>
        <v>1670848</v>
      </c>
      <c r="M9" s="24">
        <f>L9/K7</f>
        <v>0.11037924898023682</v>
      </c>
      <c r="O9" s="53">
        <f>J7</f>
        <v>-1841660</v>
      </c>
      <c r="P9" s="53">
        <f>C9+D9+E9+F9+G9+H9+I9+O9</f>
        <v>15539270</v>
      </c>
      <c r="Q9" s="53">
        <f>P9-K7</f>
        <v>401932</v>
      </c>
      <c r="R9" s="51">
        <f>Q9/K7</f>
        <v>2.6552356827864977E-2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Driver!C27</f>
        <v>11402145</v>
      </c>
      <c r="D11" s="3">
        <f>Driver!D27</f>
        <v>210367</v>
      </c>
      <c r="E11" s="3">
        <f>Driver!E27</f>
        <v>1941990</v>
      </c>
      <c r="F11" s="3">
        <f>Driver!F27</f>
        <v>2176143</v>
      </c>
      <c r="G11" s="3">
        <f>Driver!G27</f>
        <v>0</v>
      </c>
      <c r="H11" s="3">
        <f>Driver!H27</f>
        <v>1221195</v>
      </c>
      <c r="I11" s="3">
        <f>Driver!I27</f>
        <v>145110</v>
      </c>
      <c r="J11" s="3">
        <f>Driver!J27</f>
        <v>-572744</v>
      </c>
      <c r="K11" s="22">
        <f>SUM(C11:J11)</f>
        <v>16524206</v>
      </c>
      <c r="L11" s="23">
        <f>K11-K7</f>
        <v>1386868</v>
      </c>
      <c r="M11" s="24">
        <f>L11/K7</f>
        <v>9.1619015179551386E-2</v>
      </c>
      <c r="O11" s="53">
        <f>J7</f>
        <v>-1841660</v>
      </c>
      <c r="P11" s="53">
        <f>C11+D11+E11+F11+G11+H11+I11+O11</f>
        <v>15255290</v>
      </c>
      <c r="Q11" s="53">
        <f>P11-K7</f>
        <v>117952</v>
      </c>
      <c r="R11" s="51">
        <f>Q11/K7</f>
        <v>7.7921230271795474E-3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0E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8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5703125" bestFit="1" customWidth="1"/>
    <col min="8" max="8" width="11.28515625" customWidth="1"/>
    <col min="9" max="10" width="12.85546875" customWidth="1"/>
    <col min="11" max="11" width="14.7109375" bestFit="1" customWidth="1"/>
    <col min="12" max="12" width="16" customWidth="1"/>
    <col min="13" max="13" width="11" customWidth="1"/>
    <col min="14" max="14" width="1" customWidth="1"/>
    <col min="15" max="15" width="12.28515625" customWidth="1"/>
    <col min="16" max="16" width="13.140625" customWidth="1"/>
    <col min="17" max="17" width="10.42578125" customWidth="1"/>
    <col min="18" max="18" width="10.140625" customWidth="1"/>
  </cols>
  <sheetData>
    <row r="1" spans="1:18" ht="15.75" x14ac:dyDescent="0.25">
      <c r="C1" s="65" t="str">
        <f>PrairieLakes!C1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Driver!B10</f>
        <v>Central Rivers AEA</v>
      </c>
      <c r="F3" s="62" t="s">
        <v>30</v>
      </c>
      <c r="G3" s="62"/>
    </row>
    <row r="4" spans="1:18" ht="12.6" customHeight="1" x14ac:dyDescent="0.25">
      <c r="O4" s="63" t="str">
        <f>PrairieLakes!O4</f>
        <v>If State Aid Reduction = FY 2023 Level</v>
      </c>
      <c r="P4" s="64"/>
      <c r="Q4" s="64"/>
      <c r="R4" s="64"/>
    </row>
    <row r="5" spans="1:18" ht="60" x14ac:dyDescent="0.25">
      <c r="B5" s="6" t="str">
        <f>PrairieLakes!B5</f>
        <v>SSA Rate</v>
      </c>
      <c r="C5" s="8" t="str">
        <f>PrairieLakes!C5</f>
        <v>Special Education Support</v>
      </c>
      <c r="D5" s="8" t="str">
        <f>PrairieLakes!D5</f>
        <v>Special Education Support Adj.</v>
      </c>
      <c r="E5" s="8" t="str">
        <f>PrairieLakes!E5</f>
        <v>Media Services</v>
      </c>
      <c r="F5" s="8" t="str">
        <f>PrairieLakes!F5</f>
        <v>Ed. Services</v>
      </c>
      <c r="G5" s="8" t="str">
        <f>PrairieLakes!G5</f>
        <v>Sharing</v>
      </c>
      <c r="H5" s="8" t="str">
        <f>PrairieLakes!H5</f>
        <v>Teacher Salary Supp.</v>
      </c>
      <c r="I5" s="8" t="str">
        <f>PrairieLakes!I5</f>
        <v>Professional Development Supp.</v>
      </c>
      <c r="J5" s="8" t="str">
        <f>PrairieLakes!J5</f>
        <v>State Aid Reduction To AEAs</v>
      </c>
      <c r="K5" s="20" t="str">
        <f>PrairieLakes!K5</f>
        <v>Total School Aid Funding</v>
      </c>
      <c r="L5" s="20" t="str">
        <f>PrairieLakes!L5</f>
        <v>Change Compared to FY 2023</v>
      </c>
      <c r="M5" s="20" t="str">
        <f>PrairieLakes!M5</f>
        <v>% Change Compared to FY 2023</v>
      </c>
      <c r="O5" s="49" t="s">
        <v>34</v>
      </c>
      <c r="P5" s="49" t="s">
        <v>24</v>
      </c>
      <c r="Q5" s="49" t="str">
        <f>PrairieLakes!Q5</f>
        <v>Change Compared to FY 2023</v>
      </c>
      <c r="R5" s="49" t="str">
        <f>PrairieLakes!R5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FY_2023!F5</f>
        <v>23140792</v>
      </c>
      <c r="D7" s="3">
        <f>FY_2023!G5</f>
        <v>228348</v>
      </c>
      <c r="E7" s="3">
        <f>FY_2023!H5</f>
        <v>3916147</v>
      </c>
      <c r="F7" s="3">
        <f>FY_2023!I5</f>
        <v>4367412</v>
      </c>
      <c r="G7" s="3">
        <f>FY_2023!J5</f>
        <v>30001</v>
      </c>
      <c r="H7" s="3">
        <f>FY_2023!K5</f>
        <v>2880300</v>
      </c>
      <c r="I7" s="3">
        <f>FY_2023!L5</f>
        <v>331234</v>
      </c>
      <c r="J7" s="3">
        <f>-FY_2023!M5</f>
        <v>-3478978</v>
      </c>
      <c r="K7" s="17">
        <f>SUM(C7:J7)</f>
        <v>31415256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Driver!C10</f>
        <v>23701413</v>
      </c>
      <c r="D9" s="3">
        <f>Driver!D10</f>
        <v>137698</v>
      </c>
      <c r="E9" s="3">
        <f>Driver!E10</f>
        <v>4002131</v>
      </c>
      <c r="F9" s="3">
        <f>Driver!F10</f>
        <v>4462406</v>
      </c>
      <c r="G9" s="3">
        <f>Driver!G10</f>
        <v>30000</v>
      </c>
      <c r="H9" s="3">
        <f>Driver!H10</f>
        <v>2936965</v>
      </c>
      <c r="I9" s="3">
        <f>Driver!I10</f>
        <v>338001</v>
      </c>
      <c r="J9" s="3">
        <f>Driver!J10</f>
        <v>-1051119</v>
      </c>
      <c r="K9" s="22">
        <f>SUM(C9:J9)</f>
        <v>34557495</v>
      </c>
      <c r="L9" s="23">
        <f>K9-K7</f>
        <v>3142239</v>
      </c>
      <c r="M9" s="24">
        <f>L9/K7</f>
        <v>0.10002270871197103</v>
      </c>
      <c r="O9" s="53">
        <f>J7</f>
        <v>-3478978</v>
      </c>
      <c r="P9" s="53">
        <f>C9+D9+E9+F9+G9+H9+I9+O9</f>
        <v>32129636</v>
      </c>
      <c r="Q9" s="53">
        <f>P9-K7</f>
        <v>714380</v>
      </c>
      <c r="R9" s="51">
        <f>Q9/K7</f>
        <v>2.2739907005691756E-2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Driver!C28</f>
        <v>23129422</v>
      </c>
      <c r="D11" s="3">
        <f>Driver!D28</f>
        <v>379472</v>
      </c>
      <c r="E11" s="3">
        <f>Driver!E28</f>
        <v>3904928</v>
      </c>
      <c r="F11" s="3">
        <f>Driver!F28</f>
        <v>4354899</v>
      </c>
      <c r="G11" s="3">
        <f>Driver!G28</f>
        <v>30000</v>
      </c>
      <c r="H11" s="3">
        <f>Driver!H28</f>
        <v>2898655</v>
      </c>
      <c r="I11" s="3">
        <f>Driver!I28</f>
        <v>333312</v>
      </c>
      <c r="J11" s="3">
        <f>Driver!J28</f>
        <v>-1051119</v>
      </c>
      <c r="K11" s="22">
        <f>SUM(C11:J11)</f>
        <v>33979569</v>
      </c>
      <c r="L11" s="23">
        <f>K11-K7</f>
        <v>2564313</v>
      </c>
      <c r="M11" s="24">
        <f>L11/K7</f>
        <v>8.1626360135343162E-2</v>
      </c>
      <c r="O11" s="53">
        <f>J7</f>
        <v>-3478978</v>
      </c>
      <c r="P11" s="53">
        <f>C11+D11+E11+F11+G11+H11+I11+O11</f>
        <v>31551710</v>
      </c>
      <c r="Q11" s="53">
        <f>P11-K7</f>
        <v>136454</v>
      </c>
      <c r="R11" s="51">
        <f>Q11/K7</f>
        <v>4.343558429063892E-3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0F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8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5703125" bestFit="1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0.42578125" customWidth="1"/>
    <col min="18" max="18" width="10.140625" customWidth="1"/>
  </cols>
  <sheetData>
    <row r="1" spans="1:18" ht="15.75" customHeight="1" x14ac:dyDescent="0.25">
      <c r="C1" s="65" t="str">
        <f>CentralRivers!C1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Driver!B11</f>
        <v>MISSISSIPPI BEND AEA</v>
      </c>
      <c r="F3" s="62" t="s">
        <v>30</v>
      </c>
      <c r="G3" s="62"/>
    </row>
    <row r="4" spans="1:18" ht="12.6" customHeight="1" x14ac:dyDescent="0.25">
      <c r="O4" s="63" t="str">
        <f>CentralRivers!O4</f>
        <v>If State Aid Reduction = FY 2023 Level</v>
      </c>
      <c r="P4" s="64"/>
      <c r="Q4" s="64"/>
      <c r="R4" s="64"/>
    </row>
    <row r="5" spans="1:18" ht="60" x14ac:dyDescent="0.25">
      <c r="B5" s="6" t="str">
        <f>CentralRivers!B5</f>
        <v>SSA Rate</v>
      </c>
      <c r="C5" s="8" t="str">
        <f>CentralRivers!C5</f>
        <v>Special Education Support</v>
      </c>
      <c r="D5" s="8" t="str">
        <f>CentralRivers!D5</f>
        <v>Special Education Support Adj.</v>
      </c>
      <c r="E5" s="8" t="str">
        <f>CentralRivers!E5</f>
        <v>Media Services</v>
      </c>
      <c r="F5" s="8" t="str">
        <f>CentralRivers!F5</f>
        <v>Ed. Services</v>
      </c>
      <c r="G5" s="8" t="str">
        <f>CentralRivers!G5</f>
        <v>Sharing</v>
      </c>
      <c r="H5" s="8" t="str">
        <f>CentralRivers!H5</f>
        <v>Teacher Salary Supp.</v>
      </c>
      <c r="I5" s="8" t="str">
        <f>CentralRivers!I5</f>
        <v>Professional Development Supp.</v>
      </c>
      <c r="J5" s="8" t="str">
        <f>CentralRivers!J5</f>
        <v>State Aid Reduction To AEAs</v>
      </c>
      <c r="K5" s="20" t="str">
        <f>CentralRivers!K5</f>
        <v>Total School Aid Funding</v>
      </c>
      <c r="L5" s="20" t="str">
        <f>CentralRivers!L5</f>
        <v>Change Compared to FY 2023</v>
      </c>
      <c r="M5" s="20" t="str">
        <f>CentralRivers!M5</f>
        <v>% Change Compared to FY 2023</v>
      </c>
      <c r="O5" s="49" t="s">
        <v>34</v>
      </c>
      <c r="P5" s="49" t="s">
        <v>24</v>
      </c>
      <c r="Q5" s="49" t="str">
        <f>CentralRivers!Q5</f>
        <v>Change Compared to FY 2023</v>
      </c>
      <c r="R5" s="49" t="str">
        <f>CentralRivers!R5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FY_2023!F6</f>
        <v>16928684</v>
      </c>
      <c r="D7" s="3">
        <f>FY_2023!G6</f>
        <v>184554</v>
      </c>
      <c r="E7" s="3">
        <f>FY_2023!H6</f>
        <v>2921615</v>
      </c>
      <c r="F7" s="3">
        <f>FY_2023!I6</f>
        <v>3191586</v>
      </c>
      <c r="G7" s="3">
        <f>FY_2023!J6</f>
        <v>30001</v>
      </c>
      <c r="H7" s="3">
        <f>FY_2023!K6</f>
        <v>1551088</v>
      </c>
      <c r="I7" s="3">
        <f>FY_2023!L6</f>
        <v>181851</v>
      </c>
      <c r="J7" s="3">
        <f>-FY_2023!M6</f>
        <v>-2473263</v>
      </c>
      <c r="K7" s="17">
        <f>SUM(C7:J7)</f>
        <v>22516116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Driver!C11</f>
        <v>17267265</v>
      </c>
      <c r="D9" s="3">
        <f>Driver!D11</f>
        <v>138092</v>
      </c>
      <c r="E9" s="3">
        <f>Driver!E11</f>
        <v>2974457</v>
      </c>
      <c r="F9" s="3">
        <f>Driver!F11</f>
        <v>3250299</v>
      </c>
      <c r="G9" s="3">
        <f>Driver!G11</f>
        <v>0</v>
      </c>
      <c r="H9" s="3">
        <f>Driver!H11</f>
        <v>1586335</v>
      </c>
      <c r="I9" s="3">
        <f>Driver!I11</f>
        <v>186100</v>
      </c>
      <c r="J9" s="3">
        <f>Driver!J11</f>
        <v>-767782</v>
      </c>
      <c r="K9" s="22">
        <f>SUM(C9:J9)</f>
        <v>24634766</v>
      </c>
      <c r="L9" s="23">
        <f>K9-K7</f>
        <v>2118650</v>
      </c>
      <c r="M9" s="24">
        <f>L9/K7</f>
        <v>9.4094825235400276E-2</v>
      </c>
      <c r="O9" s="53">
        <f>J7</f>
        <v>-2473263</v>
      </c>
      <c r="P9" s="53">
        <f>C9+D9+E9+F9+G9+H9+I9+O9</f>
        <v>22929285</v>
      </c>
      <c r="Q9" s="53">
        <f>P9-K7</f>
        <v>413169</v>
      </c>
      <c r="R9" s="51">
        <f>Q9/K7</f>
        <v>1.8349923228322327E-2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Driver!C29</f>
        <v>16847605</v>
      </c>
      <c r="D11" s="3">
        <f>Driver!D29</f>
        <v>348921</v>
      </c>
      <c r="E11" s="3">
        <f>Driver!E29</f>
        <v>2901637</v>
      </c>
      <c r="F11" s="3">
        <f>Driver!F29</f>
        <v>3169764</v>
      </c>
      <c r="G11" s="3">
        <f>Driver!G29</f>
        <v>0</v>
      </c>
      <c r="H11" s="3">
        <f>Driver!H29</f>
        <v>1558052</v>
      </c>
      <c r="I11" s="3">
        <f>Driver!I29</f>
        <v>182654</v>
      </c>
      <c r="J11" s="3">
        <f>Driver!J29</f>
        <v>-767782</v>
      </c>
      <c r="K11" s="22">
        <f>SUM(C11:J11)</f>
        <v>24240851</v>
      </c>
      <c r="L11" s="23">
        <f>K11-K7</f>
        <v>1724735</v>
      </c>
      <c r="M11" s="24">
        <f>L11/K7</f>
        <v>7.6600022845858498E-2</v>
      </c>
      <c r="O11" s="53">
        <f>J7</f>
        <v>-2473263</v>
      </c>
      <c r="P11" s="53">
        <f>C11+D11+E11+F11+G11+H11+I11+O11</f>
        <v>22535370</v>
      </c>
      <c r="Q11" s="53">
        <f>P11-K7</f>
        <v>19254</v>
      </c>
      <c r="R11" s="51">
        <f>Q11/K7</f>
        <v>8.5512083878054276E-4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1000-000000000000}"/>
  </hyperlinks>
  <pageMargins left="0.32" right="0.35" top="0.75" bottom="0.55000000000000004" header="0.3" footer="0.3"/>
  <pageSetup scale="65" orientation="landscape" r:id="rId1"/>
  <headerFooter>
    <oddFooter>&amp;LIASB:  &amp;F  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7.5703125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5703125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0.42578125" customWidth="1"/>
    <col min="18" max="18" width="10.140625" customWidth="1"/>
  </cols>
  <sheetData>
    <row r="1" spans="1:18" ht="15.75" customHeight="1" x14ac:dyDescent="0.25">
      <c r="C1" s="65" t="str">
        <f>Miss_Bend!C1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Driver!B12</f>
        <v>GRANT WOOD AEA</v>
      </c>
      <c r="F3" s="62" t="s">
        <v>30</v>
      </c>
      <c r="G3" s="62"/>
    </row>
    <row r="4" spans="1:18" ht="12.6" customHeight="1" x14ac:dyDescent="0.25">
      <c r="O4" s="63" t="str">
        <f>Miss_Bend!O4</f>
        <v>If State Aid Reduction = FY 2023 Level</v>
      </c>
      <c r="P4" s="64"/>
      <c r="Q4" s="64"/>
      <c r="R4" s="64"/>
    </row>
    <row r="5" spans="1:18" ht="60" x14ac:dyDescent="0.25">
      <c r="B5" s="8" t="str">
        <f>Miss_Bend!B5</f>
        <v>SSA Rate</v>
      </c>
      <c r="C5" s="8" t="str">
        <f>Miss_Bend!C5</f>
        <v>Special Education Support</v>
      </c>
      <c r="D5" s="8" t="str">
        <f>Miss_Bend!D5</f>
        <v>Special Education Support Adj.</v>
      </c>
      <c r="E5" s="8" t="str">
        <f>Miss_Bend!E5</f>
        <v>Media Services</v>
      </c>
      <c r="F5" s="8" t="str">
        <f>Miss_Bend!F5</f>
        <v>Ed. Services</v>
      </c>
      <c r="G5" s="8" t="str">
        <f>Miss_Bend!G5</f>
        <v>Sharing</v>
      </c>
      <c r="H5" s="8" t="str">
        <f>Miss_Bend!H5</f>
        <v>Teacher Salary Supp.</v>
      </c>
      <c r="I5" s="8" t="str">
        <f>Miss_Bend!I5</f>
        <v>Professional Development Supp.</v>
      </c>
      <c r="J5" s="8" t="str">
        <f>Miss_Bend!J5</f>
        <v>State Aid Reduction To AEAs</v>
      </c>
      <c r="K5" s="20" t="str">
        <f>Miss_Bend!K5</f>
        <v>Total School Aid Funding</v>
      </c>
      <c r="L5" s="20" t="str">
        <f>Miss_Bend!L5</f>
        <v>Change Compared to FY 2023</v>
      </c>
      <c r="M5" s="20" t="str">
        <f>Miss_Bend!M5</f>
        <v>% Change Compared to FY 2023</v>
      </c>
      <c r="O5" s="49" t="s">
        <v>34</v>
      </c>
      <c r="P5" s="49" t="s">
        <v>24</v>
      </c>
      <c r="Q5" s="49" t="str">
        <f>Miss_Bend!Q5</f>
        <v>Change Compared to FY 2023</v>
      </c>
      <c r="R5" s="49" t="str">
        <f>Miss_Bend!R5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FY_2023!F7</f>
        <v>25113798</v>
      </c>
      <c r="D7" s="3">
        <f>FY_2023!G7</f>
        <v>100491</v>
      </c>
      <c r="E7" s="3">
        <f>FY_2023!H7</f>
        <v>4444716</v>
      </c>
      <c r="F7" s="3">
        <f>FY_2023!I7</f>
        <v>4885140</v>
      </c>
      <c r="G7" s="3">
        <f>FY_2023!J7</f>
        <v>30000</v>
      </c>
      <c r="H7" s="3">
        <f>FY_2023!K7</f>
        <v>2373182</v>
      </c>
      <c r="I7" s="3">
        <f>FY_2023!L7</f>
        <v>276066</v>
      </c>
      <c r="J7" s="3">
        <f>-FY_2023!M7</f>
        <v>-3182392</v>
      </c>
      <c r="K7" s="17">
        <f>SUM(C7:J7)</f>
        <v>34041001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Driver!C12</f>
        <v>25806392</v>
      </c>
      <c r="D9" s="3">
        <f>Driver!D12</f>
        <v>94706</v>
      </c>
      <c r="E9" s="3">
        <f>Driver!E12</f>
        <v>4558772</v>
      </c>
      <c r="F9" s="3">
        <f>Driver!F12</f>
        <v>5011260</v>
      </c>
      <c r="G9" s="3">
        <f>Driver!G12</f>
        <v>30000</v>
      </c>
      <c r="H9" s="3">
        <f>Driver!H12</f>
        <v>2444501</v>
      </c>
      <c r="I9" s="3">
        <f>Driver!I12</f>
        <v>284588</v>
      </c>
      <c r="J9" s="3">
        <f>Driver!J12</f>
        <v>-963257</v>
      </c>
      <c r="K9" s="22">
        <f>SUM(C9:J9)</f>
        <v>37266962</v>
      </c>
      <c r="L9" s="23">
        <f>K9-K7</f>
        <v>3225961</v>
      </c>
      <c r="M9" s="24">
        <f>L9/K7</f>
        <v>9.4766925332189847E-2</v>
      </c>
      <c r="O9" s="53">
        <f>J7</f>
        <v>-3182392</v>
      </c>
      <c r="P9" s="53">
        <f>C9+D9+E9+F9+G9+H9+I9+O9</f>
        <v>35047827</v>
      </c>
      <c r="Q9" s="53">
        <f>P9-K7</f>
        <v>1006826</v>
      </c>
      <c r="R9" s="51">
        <f>Q9/K7</f>
        <v>2.957686232552327E-2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Driver!C30</f>
        <v>25175560</v>
      </c>
      <c r="D11" s="3">
        <f>Driver!D30</f>
        <v>236667</v>
      </c>
      <c r="E11" s="3">
        <f>Driver!E30</f>
        <v>4447493</v>
      </c>
      <c r="F11" s="3">
        <f>Driver!F30</f>
        <v>4888192</v>
      </c>
      <c r="G11" s="3">
        <f>Driver!G30</f>
        <v>30000</v>
      </c>
      <c r="H11" s="3">
        <f>Driver!H30</f>
        <v>2390989</v>
      </c>
      <c r="I11" s="3">
        <f>Driver!I30</f>
        <v>278114</v>
      </c>
      <c r="J11" s="3">
        <f>Driver!J30</f>
        <v>-963257</v>
      </c>
      <c r="K11" s="22">
        <f>SUM(C11:J11)</f>
        <v>36483758</v>
      </c>
      <c r="L11" s="23">
        <f>K11-K7</f>
        <v>2442757</v>
      </c>
      <c r="M11" s="24">
        <f>L11/K7</f>
        <v>7.175925878325376E-2</v>
      </c>
      <c r="O11" s="53">
        <f>J7</f>
        <v>-3182392</v>
      </c>
      <c r="P11" s="53">
        <f>C11+D11+E11+F11+G11+H11+I11+O11</f>
        <v>34264623</v>
      </c>
      <c r="Q11" s="53">
        <f>P11-K7</f>
        <v>223622</v>
      </c>
      <c r="R11" s="51">
        <f>Q11/K7</f>
        <v>6.5691957765871807E-3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11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7.5703125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7.7109375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1.5703125" customWidth="1"/>
    <col min="18" max="18" width="10.140625" customWidth="1"/>
  </cols>
  <sheetData>
    <row r="1" spans="1:18" ht="15.75" customHeight="1" x14ac:dyDescent="0.25">
      <c r="C1" s="65" t="str">
        <f>GrantWood!C1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Driver!B13</f>
        <v>HEARTLAND AEA</v>
      </c>
      <c r="F3" s="62" t="s">
        <v>30</v>
      </c>
      <c r="G3" s="62"/>
    </row>
    <row r="4" spans="1:18" ht="12.6" customHeight="1" x14ac:dyDescent="0.25">
      <c r="O4" s="63" t="str">
        <f>GrantWood!O4</f>
        <v>If State Aid Reduction = FY 2023 Level</v>
      </c>
      <c r="P4" s="64"/>
      <c r="Q4" s="64"/>
      <c r="R4" s="64"/>
    </row>
    <row r="5" spans="1:18" ht="60" x14ac:dyDescent="0.25">
      <c r="B5" s="8" t="str">
        <f>GrantWood!B5</f>
        <v>SSA Rate</v>
      </c>
      <c r="C5" s="8" t="str">
        <f>GrantWood!C5</f>
        <v>Special Education Support</v>
      </c>
      <c r="D5" s="8" t="str">
        <f>GrantWood!D5</f>
        <v>Special Education Support Adj.</v>
      </c>
      <c r="E5" s="8" t="str">
        <f>GrantWood!E5</f>
        <v>Media Services</v>
      </c>
      <c r="F5" s="8" t="str">
        <f>GrantWood!F5</f>
        <v>Ed. Services</v>
      </c>
      <c r="G5" s="8" t="str">
        <f>GrantWood!G5</f>
        <v>Sharing</v>
      </c>
      <c r="H5" s="8" t="str">
        <f>GrantWood!H5</f>
        <v>Teacher Salary Supp.</v>
      </c>
      <c r="I5" s="8" t="str">
        <f>GrantWood!I5</f>
        <v>Professional Development Supp.</v>
      </c>
      <c r="J5" s="8" t="str">
        <f>GrantWood!J5</f>
        <v>State Aid Reduction To AEAs</v>
      </c>
      <c r="K5" s="20" t="str">
        <f>GrantWood!K5</f>
        <v>Total School Aid Funding</v>
      </c>
      <c r="L5" s="20" t="str">
        <f>GrantWood!L5</f>
        <v>Change Compared to FY 2023</v>
      </c>
      <c r="M5" s="20" t="str">
        <f>GrantWood!M5</f>
        <v>% Change Compared to FY 2023</v>
      </c>
      <c r="O5" s="49" t="s">
        <v>34</v>
      </c>
      <c r="P5" s="49" t="s">
        <v>24</v>
      </c>
      <c r="Q5" s="49" t="str">
        <f>GrantWood!Q5</f>
        <v>Change Compared to FY 2023</v>
      </c>
      <c r="R5" s="49" t="str">
        <f>GrantWood!R5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FY_2023!F8</f>
        <v>50456211</v>
      </c>
      <c r="D7" s="3">
        <f>FY_2023!G8</f>
        <v>67805</v>
      </c>
      <c r="E7" s="3">
        <f>FY_2023!H8</f>
        <v>9077623</v>
      </c>
      <c r="F7" s="3">
        <f>FY_2023!I8</f>
        <v>9969861</v>
      </c>
      <c r="G7" s="3">
        <f>FY_2023!J8</f>
        <v>0</v>
      </c>
      <c r="H7" s="3">
        <f>FY_2023!K8</f>
        <v>4270230</v>
      </c>
      <c r="I7" s="3">
        <f>FY_2023!L8</f>
        <v>536419</v>
      </c>
      <c r="J7" s="3">
        <f>-FY_2023!M8</f>
        <v>-5681091</v>
      </c>
      <c r="K7" s="17">
        <f>SUM(C7:J7)</f>
        <v>68697058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Driver!C13</f>
        <v>52288684</v>
      </c>
      <c r="D9" s="3">
        <f>Driver!D13</f>
        <v>29469</v>
      </c>
      <c r="E9" s="3">
        <f>Driver!E13</f>
        <v>9384481</v>
      </c>
      <c r="F9" s="3">
        <f>Driver!F13</f>
        <v>10308641</v>
      </c>
      <c r="G9" s="3">
        <f>Driver!G13</f>
        <v>0</v>
      </c>
      <c r="H9" s="3">
        <f>Driver!H13</f>
        <v>4448296</v>
      </c>
      <c r="I9" s="3">
        <f>Driver!I13</f>
        <v>558064</v>
      </c>
      <c r="J9" s="3">
        <f>Driver!J13</f>
        <v>-1693567</v>
      </c>
      <c r="K9" s="22">
        <f>SUM(C9:J9)</f>
        <v>75324068</v>
      </c>
      <c r="L9" s="23">
        <f>K9-K7</f>
        <v>6627010</v>
      </c>
      <c r="M9" s="24">
        <f>L9/K7</f>
        <v>9.646715875372712E-2</v>
      </c>
      <c r="O9" s="53">
        <f>J7</f>
        <v>-5681091</v>
      </c>
      <c r="P9" s="53">
        <f>C9+D9+E9+F9+G9+H9+I9+O9</f>
        <v>71336544</v>
      </c>
      <c r="Q9" s="53">
        <f>P9-K7</f>
        <v>2639486</v>
      </c>
      <c r="R9" s="51">
        <f>Q9/K7</f>
        <v>3.8422111176871651E-2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Driver!C31</f>
        <v>50982515</v>
      </c>
      <c r="D11" s="3">
        <f>Driver!D31</f>
        <v>261417</v>
      </c>
      <c r="E11" s="3">
        <f>Driver!E31</f>
        <v>9154961</v>
      </c>
      <c r="F11" s="3">
        <f>Driver!F31</f>
        <v>10054799</v>
      </c>
      <c r="G11" s="3">
        <f>Driver!G31</f>
        <v>0</v>
      </c>
      <c r="H11" s="3">
        <f>Driver!H31</f>
        <v>4331346</v>
      </c>
      <c r="I11" s="3">
        <f>Driver!I31</f>
        <v>544048</v>
      </c>
      <c r="J11" s="3">
        <f>Driver!J31</f>
        <v>-1693567</v>
      </c>
      <c r="K11" s="22">
        <f>SUM(C11:J11)</f>
        <v>73635519</v>
      </c>
      <c r="L11" s="23">
        <f>K11-K7</f>
        <v>4938461</v>
      </c>
      <c r="M11" s="24">
        <f>L11/K7</f>
        <v>7.1887518094297428E-2</v>
      </c>
      <c r="O11" s="53">
        <f>J7</f>
        <v>-5681091</v>
      </c>
      <c r="P11" s="53">
        <f>C11+D11+E11+F11+G11+H11+I11+O11</f>
        <v>69647995</v>
      </c>
      <c r="Q11" s="53">
        <f>P11-K7</f>
        <v>950937</v>
      </c>
      <c r="R11" s="51">
        <f>Q11/K7</f>
        <v>1.3842470517441955E-2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12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A4" sqref="A4:J26"/>
    </sheetView>
  </sheetViews>
  <sheetFormatPr defaultRowHeight="15" x14ac:dyDescent="0.25"/>
  <sheetData>
    <row r="1" spans="1:8" x14ac:dyDescent="0.25">
      <c r="A1" s="48" t="s">
        <v>68</v>
      </c>
      <c r="B1" s="48"/>
      <c r="C1" s="48"/>
    </row>
    <row r="2" spans="1:8" x14ac:dyDescent="0.25">
      <c r="A2" t="s">
        <v>35</v>
      </c>
      <c r="H2" t="s">
        <v>70</v>
      </c>
    </row>
    <row r="4" spans="1:8" x14ac:dyDescent="0.25">
      <c r="A4" t="s">
        <v>69</v>
      </c>
    </row>
    <row r="5" spans="1:8" x14ac:dyDescent="0.25">
      <c r="A5" t="s">
        <v>71</v>
      </c>
    </row>
    <row r="6" spans="1:8" x14ac:dyDescent="0.25">
      <c r="A6" t="s">
        <v>36</v>
      </c>
    </row>
    <row r="7" spans="1:8" x14ac:dyDescent="0.25">
      <c r="A7" t="s">
        <v>37</v>
      </c>
    </row>
    <row r="8" spans="1:8" x14ac:dyDescent="0.25">
      <c r="A8" t="s">
        <v>38</v>
      </c>
    </row>
    <row r="9" spans="1:8" x14ac:dyDescent="0.25">
      <c r="D9" t="s">
        <v>39</v>
      </c>
    </row>
    <row r="10" spans="1:8" x14ac:dyDescent="0.25">
      <c r="A10" t="s">
        <v>37</v>
      </c>
    </row>
    <row r="11" spans="1:8" x14ac:dyDescent="0.25">
      <c r="A11" t="s">
        <v>40</v>
      </c>
    </row>
    <row r="12" spans="1:8" x14ac:dyDescent="0.25">
      <c r="A12" t="s">
        <v>37</v>
      </c>
    </row>
    <row r="15" spans="1:8" x14ac:dyDescent="0.25">
      <c r="A15" t="s">
        <v>41</v>
      </c>
    </row>
    <row r="17" spans="1:4" x14ac:dyDescent="0.25">
      <c r="A17" t="s">
        <v>64</v>
      </c>
    </row>
    <row r="18" spans="1:4" x14ac:dyDescent="0.25">
      <c r="A18" t="s">
        <v>65</v>
      </c>
    </row>
    <row r="19" spans="1:4" x14ac:dyDescent="0.25">
      <c r="A19" t="s">
        <v>36</v>
      </c>
    </row>
    <row r="20" spans="1:4" x14ac:dyDescent="0.25">
      <c r="A20" t="s">
        <v>37</v>
      </c>
    </row>
    <row r="21" spans="1:4" x14ac:dyDescent="0.25">
      <c r="A21" t="s">
        <v>42</v>
      </c>
    </row>
    <row r="22" spans="1:4" x14ac:dyDescent="0.25">
      <c r="D22" t="s">
        <v>53</v>
      </c>
    </row>
    <row r="23" spans="1:4" x14ac:dyDescent="0.25">
      <c r="A23" t="s">
        <v>37</v>
      </c>
    </row>
    <row r="24" spans="1:4" x14ac:dyDescent="0.25">
      <c r="A24" t="s">
        <v>54</v>
      </c>
    </row>
    <row r="25" spans="1:4" x14ac:dyDescent="0.25">
      <c r="A25" t="s">
        <v>37</v>
      </c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7.5703125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5703125" bestFit="1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1.5703125" customWidth="1"/>
    <col min="18" max="18" width="10.140625" customWidth="1"/>
  </cols>
  <sheetData>
    <row r="1" spans="1:18" ht="15.75" customHeight="1" x14ac:dyDescent="0.25">
      <c r="C1" s="65" t="str">
        <f>Heartland!C1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Driver!B14</f>
        <v>NORTHWEST AEA</v>
      </c>
      <c r="F3" s="62" t="s">
        <v>30</v>
      </c>
      <c r="G3" s="62"/>
    </row>
    <row r="4" spans="1:18" ht="12.6" customHeight="1" x14ac:dyDescent="0.25">
      <c r="O4" s="63" t="str">
        <f>Heartland!O4</f>
        <v>If State Aid Reduction = FY 2023 Level</v>
      </c>
      <c r="P4" s="64"/>
      <c r="Q4" s="64"/>
      <c r="R4" s="64"/>
    </row>
    <row r="5" spans="1:18" ht="60" x14ac:dyDescent="0.25">
      <c r="B5" s="8" t="str">
        <f>Heartland!B5</f>
        <v>SSA Rate</v>
      </c>
      <c r="C5" s="8" t="str">
        <f>Heartland!C5</f>
        <v>Special Education Support</v>
      </c>
      <c r="D5" s="8" t="str">
        <f>Heartland!D5</f>
        <v>Special Education Support Adj.</v>
      </c>
      <c r="E5" s="8" t="str">
        <f>Heartland!E5</f>
        <v>Media Services</v>
      </c>
      <c r="F5" s="8" t="str">
        <f>Heartland!F5</f>
        <v>Ed. Services</v>
      </c>
      <c r="G5" s="8" t="str">
        <f>Heartland!G5</f>
        <v>Sharing</v>
      </c>
      <c r="H5" s="8" t="str">
        <f>Heartland!H5</f>
        <v>Teacher Salary Supp.</v>
      </c>
      <c r="I5" s="8" t="str">
        <f>Heartland!I5</f>
        <v>Professional Development Supp.</v>
      </c>
      <c r="J5" s="8" t="str">
        <f>Heartland!J5</f>
        <v>State Aid Reduction To AEAs</v>
      </c>
      <c r="K5" s="20" t="str">
        <f>Heartland!K5</f>
        <v>Total School Aid Funding</v>
      </c>
      <c r="L5" s="20" t="str">
        <f>Heartland!L5</f>
        <v>Change Compared to FY 2023</v>
      </c>
      <c r="M5" s="20" t="str">
        <f>Heartland!M5</f>
        <v>% Change Compared to FY 2023</v>
      </c>
      <c r="O5" s="49" t="s">
        <v>34</v>
      </c>
      <c r="P5" s="49" t="s">
        <v>24</v>
      </c>
      <c r="Q5" s="49" t="str">
        <f>Heartland!Q5</f>
        <v>Change Compared to FY 2023</v>
      </c>
      <c r="R5" s="49" t="str">
        <f>Heartland!R5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FY_2023!F9</f>
        <v>15155113</v>
      </c>
      <c r="D7" s="3">
        <f>FY_2023!G9</f>
        <v>59137</v>
      </c>
      <c r="E7" s="3">
        <f>FY_2023!H9</f>
        <v>2742807</v>
      </c>
      <c r="F7" s="3">
        <f>FY_2023!I9</f>
        <v>3072541</v>
      </c>
      <c r="G7" s="3">
        <f>FY_2023!J9</f>
        <v>30001</v>
      </c>
      <c r="H7" s="3">
        <f>FY_2023!K9</f>
        <v>1529140</v>
      </c>
      <c r="I7" s="3">
        <f>FY_2023!L9</f>
        <v>182276</v>
      </c>
      <c r="J7" s="3">
        <f>-FY_2023!M9</f>
        <v>-2111383</v>
      </c>
      <c r="K7" s="17">
        <f>SUM(C7:J7)</f>
        <v>20659632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Driver!C14</f>
        <v>15507306</v>
      </c>
      <c r="D9" s="3">
        <f>Driver!D14</f>
        <v>38145</v>
      </c>
      <c r="E9" s="3">
        <f>Driver!E14</f>
        <v>2812415</v>
      </c>
      <c r="F9" s="3">
        <f>Driver!F14</f>
        <v>3149538</v>
      </c>
      <c r="G9" s="3">
        <f>Driver!G14</f>
        <v>30000</v>
      </c>
      <c r="H9" s="3">
        <f>Driver!H14</f>
        <v>1562971</v>
      </c>
      <c r="I9" s="3">
        <f>Driver!I14</f>
        <v>186325</v>
      </c>
      <c r="J9" s="3">
        <f>Driver!J14</f>
        <v>-647092</v>
      </c>
      <c r="K9" s="22">
        <f>SUM(C9:J9)</f>
        <v>22639608</v>
      </c>
      <c r="L9" s="23">
        <f>K9-K7</f>
        <v>1979976</v>
      </c>
      <c r="M9" s="24">
        <f>L9/K7</f>
        <v>9.5837912311313195E-2</v>
      </c>
      <c r="O9" s="53">
        <f>J7</f>
        <v>-2111383</v>
      </c>
      <c r="P9" s="53">
        <f>C9+D9+E9+F9+G9+H9+I9+O9</f>
        <v>21175317</v>
      </c>
      <c r="Q9" s="53">
        <f>P9-K7</f>
        <v>515685</v>
      </c>
      <c r="R9" s="51">
        <f>Q9/K7</f>
        <v>2.4960996401097561E-2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Driver!C32</f>
        <v>15136666</v>
      </c>
      <c r="D11" s="3">
        <f>Driver!D32</f>
        <v>115991</v>
      </c>
      <c r="E11" s="3">
        <f>Driver!E32</f>
        <v>2744082</v>
      </c>
      <c r="F11" s="3">
        <f>Driver!F32</f>
        <v>3073970</v>
      </c>
      <c r="G11" s="3">
        <f>Driver!G32</f>
        <v>30000</v>
      </c>
      <c r="H11" s="3">
        <f>Driver!H32</f>
        <v>1531955</v>
      </c>
      <c r="I11" s="3">
        <f>Driver!I32</f>
        <v>182583</v>
      </c>
      <c r="J11" s="3">
        <f>Driver!J32</f>
        <v>-647092</v>
      </c>
      <c r="K11" s="22">
        <f>SUM(C11:J11)</f>
        <v>22168155</v>
      </c>
      <c r="L11" s="23">
        <f>K11-K7</f>
        <v>1508523</v>
      </c>
      <c r="M11" s="24">
        <f>L11/K7</f>
        <v>7.3017902739022644E-2</v>
      </c>
      <c r="O11" s="53">
        <f>J7</f>
        <v>-2111383</v>
      </c>
      <c r="P11" s="53">
        <f>C11+D11+E11+F11+G11+H11+I11+O11</f>
        <v>20703864</v>
      </c>
      <c r="Q11" s="53">
        <f>P11-K7</f>
        <v>44232</v>
      </c>
      <c r="R11" s="51">
        <f>Q11/K7</f>
        <v>2.1409868288070183E-3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13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7.5703125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5703125" bestFit="1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1.5703125" customWidth="1"/>
    <col min="18" max="18" width="10.140625" customWidth="1"/>
  </cols>
  <sheetData>
    <row r="1" spans="1:18" ht="15.75" customHeight="1" x14ac:dyDescent="0.25">
      <c r="C1" s="65" t="str">
        <f>Northwest!C1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Driver!B33</f>
        <v>GREEN HILLS AEA</v>
      </c>
      <c r="F3" s="62" t="s">
        <v>30</v>
      </c>
      <c r="G3" s="62"/>
    </row>
    <row r="4" spans="1:18" ht="12.6" customHeight="1" x14ac:dyDescent="0.25">
      <c r="O4" s="63" t="str">
        <f>Northwest!O4</f>
        <v>If State Aid Reduction = FY 2023 Level</v>
      </c>
      <c r="P4" s="64"/>
      <c r="Q4" s="64"/>
      <c r="R4" s="64"/>
    </row>
    <row r="5" spans="1:18" ht="60" x14ac:dyDescent="0.25">
      <c r="B5" s="8" t="str">
        <f>Northwest!B5</f>
        <v>SSA Rate</v>
      </c>
      <c r="C5" s="8" t="str">
        <f>Northwest!C5</f>
        <v>Special Education Support</v>
      </c>
      <c r="D5" s="8" t="str">
        <f>Northwest!D5</f>
        <v>Special Education Support Adj.</v>
      </c>
      <c r="E5" s="8" t="str">
        <f>Northwest!E5</f>
        <v>Media Services</v>
      </c>
      <c r="F5" s="8" t="str">
        <f>Northwest!F5</f>
        <v>Ed. Services</v>
      </c>
      <c r="G5" s="8" t="str">
        <f>Northwest!G5</f>
        <v>Sharing</v>
      </c>
      <c r="H5" s="8" t="str">
        <f>Northwest!H5</f>
        <v>Teacher Salary Supp.</v>
      </c>
      <c r="I5" s="8" t="str">
        <f>Northwest!I5</f>
        <v>Professional Development Supp.</v>
      </c>
      <c r="J5" s="8" t="str">
        <f>Northwest!J5</f>
        <v>State Aid Reduction To AEAs</v>
      </c>
      <c r="K5" s="20" t="str">
        <f>Northwest!K5</f>
        <v>Total School Aid Funding</v>
      </c>
      <c r="L5" s="20" t="str">
        <f>Northwest!L5</f>
        <v>Change Compared to FY 2023</v>
      </c>
      <c r="M5" s="20" t="str">
        <f>Northwest!M5</f>
        <v>% Change Compared to FY 2023</v>
      </c>
      <c r="O5" s="49" t="s">
        <v>34</v>
      </c>
      <c r="P5" s="49" t="s">
        <v>24</v>
      </c>
      <c r="Q5" s="49" t="str">
        <f>Northwest!Q5</f>
        <v>Change Compared to FY 2023</v>
      </c>
      <c r="R5" s="49" t="str">
        <f>Northwest!R5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FY_2023!F10</f>
        <v>13777070</v>
      </c>
      <c r="D7" s="3">
        <f>FY_2023!G10</f>
        <v>83363</v>
      </c>
      <c r="E7" s="3">
        <f>FY_2023!H10</f>
        <v>2274728</v>
      </c>
      <c r="F7" s="3">
        <f>FY_2023!I10</f>
        <v>2514787</v>
      </c>
      <c r="G7" s="3">
        <f>FY_2023!J10</f>
        <v>30001</v>
      </c>
      <c r="H7" s="3">
        <f>FY_2023!K10</f>
        <v>1417195</v>
      </c>
      <c r="I7" s="3">
        <f>FY_2023!L10</f>
        <v>152387</v>
      </c>
      <c r="J7" s="3">
        <f>-FY_2023!M10</f>
        <v>-2111676</v>
      </c>
      <c r="K7" s="17">
        <f>SUM(C7:J7)</f>
        <v>18137855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Driver!C15</f>
        <v>14241109</v>
      </c>
      <c r="D9" s="3">
        <f>Driver!D15</f>
        <v>57316</v>
      </c>
      <c r="E9" s="3">
        <f>Driver!E15</f>
        <v>2341902</v>
      </c>
      <c r="F9" s="3">
        <f>Driver!F15</f>
        <v>2589075</v>
      </c>
      <c r="G9" s="3">
        <f>Driver!G15</f>
        <v>30000</v>
      </c>
      <c r="H9" s="3">
        <f>Driver!H15</f>
        <v>1464731</v>
      </c>
      <c r="I9" s="3">
        <f>Driver!I15</f>
        <v>157944</v>
      </c>
      <c r="J9" s="3">
        <f>Driver!J15</f>
        <v>-656548</v>
      </c>
      <c r="K9" s="22">
        <f>SUM(C9:J9)</f>
        <v>20225529</v>
      </c>
      <c r="L9" s="23">
        <f>K9-K7</f>
        <v>2087674</v>
      </c>
      <c r="M9" s="24">
        <f>L9/K7</f>
        <v>0.11510037984094591</v>
      </c>
      <c r="O9" s="53">
        <f>J7</f>
        <v>-2111676</v>
      </c>
      <c r="P9" s="53">
        <f>C9+D9+E9+F9+G9+H9+I9+O9</f>
        <v>18770401</v>
      </c>
      <c r="Q9" s="53">
        <f>P9-K7</f>
        <v>632546</v>
      </c>
      <c r="R9" s="51">
        <f>Q9/K7</f>
        <v>3.4874355319303191E-2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Driver!C33</f>
        <v>13893999</v>
      </c>
      <c r="D11" s="3">
        <f>Driver!D33</f>
        <v>136121</v>
      </c>
      <c r="E11" s="3">
        <f>Driver!E33</f>
        <v>2284744</v>
      </c>
      <c r="F11" s="3">
        <f>Driver!F33</f>
        <v>2525864</v>
      </c>
      <c r="G11" s="3">
        <f>Driver!G33</f>
        <v>30000</v>
      </c>
      <c r="H11" s="3">
        <f>Driver!H33</f>
        <v>1434494</v>
      </c>
      <c r="I11" s="3">
        <f>Driver!I33</f>
        <v>154263</v>
      </c>
      <c r="J11" s="3">
        <f>Driver!J33</f>
        <v>-656548</v>
      </c>
      <c r="K11" s="22">
        <f>SUM(C11:J11)</f>
        <v>19802937</v>
      </c>
      <c r="L11" s="23">
        <f>K11-K7</f>
        <v>1665082</v>
      </c>
      <c r="M11" s="24">
        <f>L11/K7</f>
        <v>9.1801483692531452E-2</v>
      </c>
      <c r="O11" s="53">
        <f>J7</f>
        <v>-2111676</v>
      </c>
      <c r="P11" s="53">
        <f>C11+D11+E11+F11+G11+H11+I11+O11</f>
        <v>18347809</v>
      </c>
      <c r="Q11" s="53">
        <f>P11-K7</f>
        <v>209954</v>
      </c>
      <c r="R11" s="51">
        <f>Q11/K7</f>
        <v>1.157545917088873E-2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14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17"/>
  <sheetViews>
    <sheetView workbookViewId="0">
      <selection activeCell="C1" sqref="C1:M1"/>
    </sheetView>
  </sheetViews>
  <sheetFormatPr defaultRowHeight="15" x14ac:dyDescent="0.25"/>
  <cols>
    <col min="1" max="1" width="11.85546875" style="9" customWidth="1"/>
    <col min="2" max="2" width="7.5703125" customWidth="1"/>
    <col min="3" max="3" width="13.7109375" customWidth="1"/>
    <col min="4" max="4" width="11.7109375" customWidth="1"/>
    <col min="5" max="5" width="13.7109375" bestFit="1" customWidth="1"/>
    <col min="6" max="6" width="12.42578125" customWidth="1"/>
    <col min="7" max="7" width="8.5703125" bestFit="1" customWidth="1"/>
    <col min="8" max="8" width="11.28515625" customWidth="1"/>
    <col min="9" max="10" width="12.85546875" customWidth="1"/>
    <col min="11" max="11" width="14.7109375" bestFit="1" customWidth="1"/>
    <col min="12" max="12" width="13.85546875" customWidth="1"/>
    <col min="13" max="13" width="11" customWidth="1"/>
    <col min="14" max="14" width="1" customWidth="1"/>
    <col min="15" max="15" width="12.28515625" customWidth="1"/>
    <col min="16" max="16" width="12.7109375" customWidth="1"/>
    <col min="17" max="17" width="11.5703125" customWidth="1"/>
    <col min="18" max="18" width="10.140625" customWidth="1"/>
  </cols>
  <sheetData>
    <row r="1" spans="1:18" ht="15.75" customHeight="1" x14ac:dyDescent="0.25">
      <c r="C1" s="65" t="str">
        <f>GreenHills!C1</f>
        <v>Iowa Association of School Boards:  Supplemental State Aid Funding for Area Education Agencies FY 2023 and Estimated FY 2024</v>
      </c>
      <c r="D1" s="65"/>
      <c r="E1" s="65"/>
      <c r="F1" s="65"/>
      <c r="G1" s="65"/>
      <c r="H1" s="65"/>
      <c r="I1" s="65"/>
      <c r="J1" s="65"/>
      <c r="K1" s="65"/>
      <c r="L1" s="65"/>
      <c r="M1" s="66"/>
    </row>
    <row r="3" spans="1:18" ht="18.75" x14ac:dyDescent="0.3">
      <c r="C3" s="13" t="str">
        <f>Driver!B16</f>
        <v>GREAT PRAIRIE AEA</v>
      </c>
      <c r="F3" s="62" t="s">
        <v>30</v>
      </c>
      <c r="G3" s="62"/>
    </row>
    <row r="4" spans="1:18" ht="12.6" customHeight="1" x14ac:dyDescent="0.25">
      <c r="O4" s="63" t="str">
        <f>GreenHills!O4</f>
        <v>If State Aid Reduction = FY 2023 Level</v>
      </c>
      <c r="P4" s="64"/>
      <c r="Q4" s="64"/>
      <c r="R4" s="64"/>
    </row>
    <row r="5" spans="1:18" ht="60" x14ac:dyDescent="0.25">
      <c r="B5" s="8" t="str">
        <f>GreenHills!B5</f>
        <v>SSA Rate</v>
      </c>
      <c r="C5" s="8" t="str">
        <f>GreenHills!C5</f>
        <v>Special Education Support</v>
      </c>
      <c r="D5" s="8" t="str">
        <f>GreenHills!D5</f>
        <v>Special Education Support Adj.</v>
      </c>
      <c r="E5" s="8" t="str">
        <f>GreenHills!E5</f>
        <v>Media Services</v>
      </c>
      <c r="F5" s="8" t="str">
        <f>GreenHills!F5</f>
        <v>Ed. Services</v>
      </c>
      <c r="G5" s="8" t="str">
        <f>GreenHills!G5</f>
        <v>Sharing</v>
      </c>
      <c r="H5" s="8" t="str">
        <f>GreenHills!H5</f>
        <v>Teacher Salary Supp.</v>
      </c>
      <c r="I5" s="8" t="str">
        <f>GreenHills!I5</f>
        <v>Professional Development Supp.</v>
      </c>
      <c r="J5" s="8" t="str">
        <f>GreenHills!J5</f>
        <v>State Aid Reduction To AEAs</v>
      </c>
      <c r="K5" s="20" t="str">
        <f>GreenHills!K5</f>
        <v>Total School Aid Funding</v>
      </c>
      <c r="L5" s="20" t="str">
        <f>GreenHills!L5</f>
        <v>Change Compared to FY 2023</v>
      </c>
      <c r="M5" s="20" t="str">
        <f>GreenHills!M5</f>
        <v>% Change Compared to FY 2023</v>
      </c>
      <c r="O5" s="49" t="s">
        <v>34</v>
      </c>
      <c r="P5" s="49" t="s">
        <v>24</v>
      </c>
      <c r="Q5" s="49" t="str">
        <f>GreenHills!Q5</f>
        <v>Change Compared to FY 2023</v>
      </c>
      <c r="R5" s="49" t="str">
        <f>GreenHills!R5</f>
        <v>% Change Compared to FY 2023</v>
      </c>
    </row>
    <row r="6" spans="1:18" ht="10.15" customHeight="1" x14ac:dyDescent="0.25">
      <c r="K6" s="15"/>
      <c r="L6" s="15"/>
      <c r="M6" s="15"/>
      <c r="O6" s="50"/>
      <c r="P6" s="50"/>
      <c r="Q6" s="50"/>
      <c r="R6" s="50"/>
    </row>
    <row r="7" spans="1:18" x14ac:dyDescent="0.25">
      <c r="A7" s="9" t="str">
        <f>Keystone!$A$7</f>
        <v>FY 2023</v>
      </c>
      <c r="C7" s="3">
        <f>FY_2023!F11</f>
        <v>12398858</v>
      </c>
      <c r="D7" s="3">
        <f>FY_2023!G11</f>
        <v>86612</v>
      </c>
      <c r="E7" s="3">
        <f>FY_2023!H11</f>
        <v>2113603</v>
      </c>
      <c r="F7" s="3">
        <f>FY_2023!I11</f>
        <v>2322760</v>
      </c>
      <c r="G7" s="3">
        <f>FY_2023!J11</f>
        <v>30001</v>
      </c>
      <c r="H7" s="3">
        <f>FY_2023!K11</f>
        <v>1247183</v>
      </c>
      <c r="I7" s="3">
        <f>FY_2023!L11</f>
        <v>136296</v>
      </c>
      <c r="J7" s="3">
        <f>-FY_2023!M11</f>
        <v>-1963574</v>
      </c>
      <c r="K7" s="17">
        <f>SUM(C7:J7)</f>
        <v>16371739</v>
      </c>
      <c r="L7" s="15"/>
      <c r="M7" s="15"/>
      <c r="O7" s="50"/>
      <c r="P7" s="50"/>
      <c r="Q7" s="50"/>
      <c r="R7" s="50"/>
    </row>
    <row r="8" spans="1:18" x14ac:dyDescent="0.25">
      <c r="C8" s="3"/>
      <c r="D8" s="3"/>
      <c r="E8" s="3"/>
      <c r="F8" s="3"/>
      <c r="G8" s="3"/>
      <c r="H8" s="3"/>
      <c r="I8" s="3"/>
      <c r="J8" s="3"/>
      <c r="K8" s="17"/>
      <c r="L8" s="15"/>
      <c r="M8" s="15"/>
      <c r="O8" s="50"/>
      <c r="P8" s="50"/>
      <c r="Q8" s="50"/>
      <c r="R8" s="50"/>
    </row>
    <row r="9" spans="1:18" x14ac:dyDescent="0.25">
      <c r="A9" s="9" t="str">
        <f>Keystone!$A$9</f>
        <v>Est. FY 2024</v>
      </c>
      <c r="B9" s="19">
        <f>Driver!C5</f>
        <v>2.5000000000000001E-2</v>
      </c>
      <c r="C9" s="3">
        <f>Driver!C16</f>
        <v>12735080</v>
      </c>
      <c r="D9" s="3">
        <f>Driver!D16</f>
        <v>96549</v>
      </c>
      <c r="E9" s="3">
        <f>Driver!E16</f>
        <v>2164647</v>
      </c>
      <c r="F9" s="3">
        <f>Driver!F16</f>
        <v>2379223</v>
      </c>
      <c r="G9" s="3">
        <f>Driver!G16</f>
        <v>30000</v>
      </c>
      <c r="H9" s="3">
        <f>Driver!H16</f>
        <v>1283409</v>
      </c>
      <c r="I9" s="3">
        <f>Driver!I16</f>
        <v>140563</v>
      </c>
      <c r="J9" s="3">
        <f>Driver!J16</f>
        <v>-610815</v>
      </c>
      <c r="K9" s="22">
        <f>SUM(C9:J9)</f>
        <v>18218656</v>
      </c>
      <c r="L9" s="23">
        <f>K9-K7</f>
        <v>1846917</v>
      </c>
      <c r="M9" s="24">
        <f>L9/K7</f>
        <v>0.11281129023618078</v>
      </c>
      <c r="O9" s="53">
        <f>J7</f>
        <v>-1963574</v>
      </c>
      <c r="P9" s="53">
        <f>C9+D9+E9+F9+G9+H9+I9+O9</f>
        <v>16865897</v>
      </c>
      <c r="Q9" s="53">
        <f>P9-K7</f>
        <v>494158</v>
      </c>
      <c r="R9" s="51">
        <f>Q9/K7</f>
        <v>3.0183598700174733E-2</v>
      </c>
    </row>
    <row r="10" spans="1:18" x14ac:dyDescent="0.25">
      <c r="K10" s="15"/>
      <c r="L10" s="15"/>
      <c r="M10" s="21"/>
      <c r="O10" s="54"/>
      <c r="P10" s="54"/>
      <c r="Q10" s="54"/>
      <c r="R10" s="52"/>
    </row>
    <row r="11" spans="1:18" x14ac:dyDescent="0.25">
      <c r="A11" s="9" t="str">
        <f>Keystone!$A$11</f>
        <v>Est. FY 2024</v>
      </c>
      <c r="B11" s="19">
        <f>Driver!C23</f>
        <v>0</v>
      </c>
      <c r="C11" s="3">
        <f>Driver!C34</f>
        <v>12422188</v>
      </c>
      <c r="D11" s="3">
        <f>Driver!D34</f>
        <v>225756</v>
      </c>
      <c r="E11" s="3">
        <f>Driver!E34</f>
        <v>2111794</v>
      </c>
      <c r="F11" s="3">
        <f>Driver!F34</f>
        <v>2320769</v>
      </c>
      <c r="G11" s="3">
        <f>Driver!G34</f>
        <v>30000</v>
      </c>
      <c r="H11" s="3">
        <f>Driver!H34</f>
        <v>1262068</v>
      </c>
      <c r="I11" s="3">
        <f>Driver!I34</f>
        <v>137927</v>
      </c>
      <c r="J11" s="3">
        <f>Driver!J34</f>
        <v>-610815</v>
      </c>
      <c r="K11" s="22">
        <f>SUM(C11:J11)</f>
        <v>17899687</v>
      </c>
      <c r="L11" s="23">
        <f>K11-K7</f>
        <v>1527948</v>
      </c>
      <c r="M11" s="24">
        <f>L11/K7</f>
        <v>9.3328387411990871E-2</v>
      </c>
      <c r="O11" s="53">
        <f>J7</f>
        <v>-1963574</v>
      </c>
      <c r="P11" s="53">
        <f>C11+D11+E11+F11+G11+H11+I11+O11</f>
        <v>16546928</v>
      </c>
      <c r="Q11" s="53">
        <f>P11-K7</f>
        <v>175189</v>
      </c>
      <c r="R11" s="51">
        <f>Q11/K7</f>
        <v>1.0700695875984829E-2</v>
      </c>
    </row>
    <row r="13" spans="1:18" x14ac:dyDescent="0.25">
      <c r="A13" s="16" t="str">
        <f>Keystone!$A$13</f>
        <v>*Estimates are preliminary and subject to change.</v>
      </c>
    </row>
    <row r="14" spans="1:18" x14ac:dyDescent="0.25">
      <c r="A14" s="30" t="str">
        <f>Keystone!$A$14</f>
        <v>Sources:</v>
      </c>
    </row>
    <row r="15" spans="1:18" x14ac:dyDescent="0.25">
      <c r="A15" s="30" t="str">
        <f>Keystone!$A$15</f>
        <v>Iowa Department of Management, School Aid file and IASB estimates (based on IASB_Schlaid_FY23_FY28_v4.3.sas).</v>
      </c>
    </row>
    <row r="16" spans="1:18" x14ac:dyDescent="0.25">
      <c r="A16" s="16"/>
    </row>
    <row r="17" spans="1:1" x14ac:dyDescent="0.25">
      <c r="A17" s="16" t="str">
        <f>Keystone!$A$18</f>
        <v>Copyright 2023 - Iowa Association of School Boards</v>
      </c>
    </row>
  </sheetData>
  <mergeCells count="3">
    <mergeCell ref="F3:G3"/>
    <mergeCell ref="O4:R4"/>
    <mergeCell ref="C1:M1"/>
  </mergeCells>
  <hyperlinks>
    <hyperlink ref="F3:G3" location="Driver!B2" display="Back to Main Tab" xr:uid="{00000000-0004-0000-1500-000000000000}"/>
  </hyperlinks>
  <pageMargins left="0.32" right="0.35" top="0.75" bottom="0.55000000000000004" header="0.3" footer="0.3"/>
  <pageSetup scale="82" orientation="landscape" r:id="rId1"/>
  <headerFooter>
    <oddFooter>&amp;LIASB:  &amp;F 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workbookViewId="0">
      <selection activeCell="B2" sqref="B2"/>
    </sheetView>
  </sheetViews>
  <sheetFormatPr defaultRowHeight="15" x14ac:dyDescent="0.25"/>
  <cols>
    <col min="1" max="1" width="4.7109375" customWidth="1"/>
    <col min="3" max="3" width="7" customWidth="1"/>
    <col min="4" max="4" width="8.28515625" customWidth="1"/>
    <col min="6" max="6" width="15.7109375" bestFit="1" customWidth="1"/>
    <col min="7" max="7" width="13.7109375" bestFit="1" customWidth="1"/>
    <col min="8" max="9" width="14.7109375" bestFit="1" customWidth="1"/>
    <col min="10" max="10" width="11.28515625" bestFit="1" customWidth="1"/>
    <col min="11" max="11" width="14.7109375" bestFit="1" customWidth="1"/>
    <col min="12" max="12" width="13.7109375" bestFit="1" customWidth="1"/>
    <col min="13" max="13" width="14" bestFit="1" customWidth="1"/>
    <col min="14" max="15" width="12.140625" bestFit="1" customWidth="1"/>
    <col min="16" max="16" width="4" customWidth="1"/>
    <col min="17" max="17" width="15.7109375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10903052</v>
      </c>
      <c r="G3" s="1">
        <v>85792</v>
      </c>
      <c r="H3" s="1">
        <v>1912270</v>
      </c>
      <c r="I3" s="1">
        <v>2130842</v>
      </c>
      <c r="J3" s="1">
        <v>0</v>
      </c>
      <c r="K3" s="1">
        <v>1084589</v>
      </c>
      <c r="L3" s="1">
        <v>117306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11402145</v>
      </c>
      <c r="G4" s="1">
        <v>210367</v>
      </c>
      <c r="H4" s="1">
        <v>1941990</v>
      </c>
      <c r="I4" s="1">
        <v>2176143</v>
      </c>
      <c r="J4" s="1">
        <v>0</v>
      </c>
      <c r="K4" s="1">
        <v>1221195</v>
      </c>
      <c r="L4" s="1">
        <v>145110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23129422</v>
      </c>
      <c r="G5" s="1">
        <v>379472</v>
      </c>
      <c r="H5" s="1">
        <v>3904928</v>
      </c>
      <c r="I5" s="1">
        <v>4354899</v>
      </c>
      <c r="J5" s="1">
        <v>0</v>
      </c>
      <c r="K5" s="1">
        <v>2898655</v>
      </c>
      <c r="L5" s="1">
        <v>333312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16847605</v>
      </c>
      <c r="G6" s="1">
        <v>348921</v>
      </c>
      <c r="H6" s="1">
        <v>2901637</v>
      </c>
      <c r="I6" s="1">
        <v>3169764</v>
      </c>
      <c r="J6" s="1">
        <v>0</v>
      </c>
      <c r="K6" s="1">
        <v>1558052</v>
      </c>
      <c r="L6" s="1">
        <v>182654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25175560</v>
      </c>
      <c r="G7" s="1">
        <v>236667</v>
      </c>
      <c r="H7" s="1">
        <v>4447493</v>
      </c>
      <c r="I7" s="1">
        <v>4888192</v>
      </c>
      <c r="J7" s="1">
        <v>0</v>
      </c>
      <c r="K7" s="1">
        <v>2390989</v>
      </c>
      <c r="L7" s="1">
        <v>278114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50982515</v>
      </c>
      <c r="G8" s="1">
        <v>261417</v>
      </c>
      <c r="H8" s="1">
        <v>9154961</v>
      </c>
      <c r="I8" s="1">
        <v>10054799</v>
      </c>
      <c r="J8" s="1">
        <v>0</v>
      </c>
      <c r="K8" s="1">
        <v>4331346</v>
      </c>
      <c r="L8" s="1">
        <v>544048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15136666</v>
      </c>
      <c r="G9" s="1">
        <v>115991</v>
      </c>
      <c r="H9" s="1">
        <v>2744082</v>
      </c>
      <c r="I9" s="1">
        <v>3073970</v>
      </c>
      <c r="J9" s="1">
        <v>0</v>
      </c>
      <c r="K9" s="1">
        <v>1531955</v>
      </c>
      <c r="L9" s="1">
        <v>182583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13893999</v>
      </c>
      <c r="G10" s="1">
        <v>136121</v>
      </c>
      <c r="H10" s="1">
        <v>2284744</v>
      </c>
      <c r="I10" s="1">
        <v>2525864</v>
      </c>
      <c r="J10" s="1">
        <v>0</v>
      </c>
      <c r="K10" s="1">
        <v>1434494</v>
      </c>
      <c r="L10" s="1">
        <v>154263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12422188</v>
      </c>
      <c r="G11" s="1">
        <v>225756</v>
      </c>
      <c r="H11" s="1">
        <v>2111794</v>
      </c>
      <c r="I11" s="1">
        <v>2320769</v>
      </c>
      <c r="J11" s="1">
        <v>0</v>
      </c>
      <c r="K11" s="1">
        <v>1262068</v>
      </c>
      <c r="L11" s="1">
        <v>137927</v>
      </c>
      <c r="M11" s="1">
        <v>599695</v>
      </c>
      <c r="N11" s="1">
        <v>38628.61</v>
      </c>
      <c r="O11" s="1">
        <v>35004</v>
      </c>
    </row>
    <row r="13" spans="2:17" x14ac:dyDescent="0.25">
      <c r="F13" s="3">
        <f>SUM(F2:F11)</f>
        <v>179893152</v>
      </c>
      <c r="G13" s="3">
        <f t="shared" ref="G13:O13" si="0">SUM(G2:G11)</f>
        <v>2000504</v>
      </c>
      <c r="H13" s="3">
        <f t="shared" si="0"/>
        <v>31403899</v>
      </c>
      <c r="I13" s="3">
        <f t="shared" si="0"/>
        <v>34695242</v>
      </c>
      <c r="J13" s="3">
        <f t="shared" si="0"/>
        <v>0</v>
      </c>
      <c r="K13" s="3">
        <f t="shared" si="0"/>
        <v>17713343</v>
      </c>
      <c r="L13" s="3">
        <f t="shared" si="0"/>
        <v>2075317</v>
      </c>
      <c r="M13" s="3">
        <f t="shared" si="0"/>
        <v>7500001</v>
      </c>
      <c r="N13" s="3">
        <f t="shared" si="0"/>
        <v>555139.59</v>
      </c>
      <c r="O13" s="3">
        <f t="shared" si="0"/>
        <v>519929</v>
      </c>
      <c r="P13" s="3"/>
      <c r="Q13" s="3">
        <f>F13+G13+H13+I13+J13+K13+L13-M13</f>
        <v>260281456</v>
      </c>
    </row>
    <row r="15" spans="2:17" x14ac:dyDescent="0.25">
      <c r="M15">
        <f>FY_2023!M12</f>
        <v>24557131</v>
      </c>
      <c r="O15">
        <f>(SUM(F13:L13))-M13</f>
        <v>260281456</v>
      </c>
      <c r="Q15">
        <f>F13+G13+H13+I13+J13+K13+L13-M15</f>
        <v>243224326</v>
      </c>
    </row>
    <row r="16" spans="2:17" x14ac:dyDescent="0.25">
      <c r="O16">
        <f>O15-Driver!K18</f>
        <v>-5432813</v>
      </c>
    </row>
    <row r="17" spans="1:17" x14ac:dyDescent="0.25">
      <c r="D17" s="58" t="s">
        <v>63</v>
      </c>
      <c r="E17" s="58"/>
      <c r="F17" s="57">
        <f>F13-FY_2023!F14</f>
        <v>644636</v>
      </c>
      <c r="G17" s="57">
        <f>G13-FY_2023!G14</f>
        <v>1038866</v>
      </c>
      <c r="H17" s="57">
        <f>H13-FY_2023!H14</f>
        <v>53305</v>
      </c>
      <c r="I17" s="57">
        <f>I13-FY_2023!I14</f>
        <v>58491</v>
      </c>
      <c r="J17" s="57">
        <f>J13-FY_2023!J14</f>
        <v>-210007</v>
      </c>
      <c r="K17" s="57">
        <f>K13-FY_2023!K14</f>
        <v>155204</v>
      </c>
      <c r="L17" s="57">
        <f>L13-FY_2023!L14</f>
        <v>18186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1758681</v>
      </c>
    </row>
    <row r="19" spans="1:17" x14ac:dyDescent="0.25">
      <c r="A19" t="s">
        <v>73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"/>
  <sheetViews>
    <sheetView workbookViewId="0">
      <selection activeCell="O16" sqref="O16"/>
    </sheetView>
  </sheetViews>
  <sheetFormatPr defaultRowHeight="15" x14ac:dyDescent="0.25"/>
  <cols>
    <col min="1" max="1" width="2.5703125" customWidth="1"/>
    <col min="6" max="6" width="10" bestFit="1" customWidth="1"/>
    <col min="15" max="15" width="10" bestFit="1" customWidth="1"/>
    <col min="16" max="16" width="6" customWidth="1"/>
    <col min="17" max="17" width="11.7109375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10955241</v>
      </c>
      <c r="G3" s="1">
        <v>50734</v>
      </c>
      <c r="H3" s="1">
        <v>1921730</v>
      </c>
      <c r="I3" s="1">
        <v>2141247</v>
      </c>
      <c r="J3" s="1">
        <v>0</v>
      </c>
      <c r="K3" s="1">
        <v>1086618</v>
      </c>
      <c r="L3" s="1">
        <v>117545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11457422</v>
      </c>
      <c r="G4" s="1">
        <v>181713</v>
      </c>
      <c r="H4" s="1">
        <v>1951589</v>
      </c>
      <c r="I4" s="1">
        <v>2186699</v>
      </c>
      <c r="J4" s="1">
        <v>0</v>
      </c>
      <c r="K4" s="1">
        <v>1224291</v>
      </c>
      <c r="L4" s="1">
        <v>145473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23243821</v>
      </c>
      <c r="G5" s="1">
        <v>313487</v>
      </c>
      <c r="H5" s="1">
        <v>3924240</v>
      </c>
      <c r="I5" s="1">
        <v>4376143</v>
      </c>
      <c r="J5" s="1">
        <v>0</v>
      </c>
      <c r="K5" s="1">
        <v>2905279</v>
      </c>
      <c r="L5" s="1">
        <v>334087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16931538</v>
      </c>
      <c r="G6" s="1">
        <v>294569</v>
      </c>
      <c r="H6" s="1">
        <v>2916104</v>
      </c>
      <c r="I6" s="1">
        <v>3185678</v>
      </c>
      <c r="J6" s="1">
        <v>0</v>
      </c>
      <c r="K6" s="1">
        <v>1562133</v>
      </c>
      <c r="L6" s="1">
        <v>183134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25301727</v>
      </c>
      <c r="G7" s="1">
        <v>181282</v>
      </c>
      <c r="H7" s="1">
        <v>4469603</v>
      </c>
      <c r="I7" s="1">
        <v>4912509</v>
      </c>
      <c r="J7" s="1">
        <v>0</v>
      </c>
      <c r="K7" s="1">
        <v>2399087</v>
      </c>
      <c r="L7" s="1">
        <v>279067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51243749</v>
      </c>
      <c r="G8" s="1">
        <v>156743</v>
      </c>
      <c r="H8" s="1">
        <v>9200559</v>
      </c>
      <c r="I8" s="1">
        <v>10104960</v>
      </c>
      <c r="J8" s="1">
        <v>0</v>
      </c>
      <c r="K8" s="1">
        <v>4348164</v>
      </c>
      <c r="L8" s="1">
        <v>546025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15210793</v>
      </c>
      <c r="G9" s="1">
        <v>85453</v>
      </c>
      <c r="H9" s="1">
        <v>2757657</v>
      </c>
      <c r="I9" s="1">
        <v>3088903</v>
      </c>
      <c r="J9" s="1">
        <v>0</v>
      </c>
      <c r="K9" s="1">
        <v>1536952</v>
      </c>
      <c r="L9" s="1">
        <v>183171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13963421</v>
      </c>
      <c r="G10" s="1">
        <v>115546</v>
      </c>
      <c r="H10" s="1">
        <v>2296103</v>
      </c>
      <c r="I10" s="1">
        <v>2538359</v>
      </c>
      <c r="J10" s="1">
        <v>0</v>
      </c>
      <c r="K10" s="1">
        <v>1440101</v>
      </c>
      <c r="L10" s="1">
        <v>154928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12484767</v>
      </c>
      <c r="G11" s="1">
        <v>195310</v>
      </c>
      <c r="H11" s="1">
        <v>2122290</v>
      </c>
      <c r="I11" s="1">
        <v>2332314</v>
      </c>
      <c r="J11" s="1">
        <v>0</v>
      </c>
      <c r="K11" s="1">
        <v>1265547</v>
      </c>
      <c r="L11" s="1">
        <v>138337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180792479</v>
      </c>
      <c r="G13">
        <f t="shared" ref="G13:O13" si="0">SUM(G2:G11)</f>
        <v>1574837</v>
      </c>
      <c r="H13">
        <f t="shared" si="0"/>
        <v>31559875</v>
      </c>
      <c r="I13">
        <f t="shared" si="0"/>
        <v>34866812</v>
      </c>
      <c r="J13">
        <f t="shared" si="0"/>
        <v>0</v>
      </c>
      <c r="K13">
        <f t="shared" si="0"/>
        <v>17768172</v>
      </c>
      <c r="L13">
        <f t="shared" si="0"/>
        <v>2081767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261143941</v>
      </c>
    </row>
    <row r="15" spans="2:17" x14ac:dyDescent="0.25">
      <c r="M15">
        <f>FYXX_0!M15</f>
        <v>24557131</v>
      </c>
      <c r="O15">
        <f>(SUM(F13:L13))-M13</f>
        <v>261143941</v>
      </c>
      <c r="Q15">
        <f>F13+G13+H13+I13+J13+K13+L13-M15</f>
        <v>244086811</v>
      </c>
    </row>
    <row r="16" spans="2:17" x14ac:dyDescent="0.25">
      <c r="O16">
        <f>O15-Driver!K18</f>
        <v>-4570328</v>
      </c>
    </row>
    <row r="17" spans="1:17" x14ac:dyDescent="0.25">
      <c r="D17" s="58" t="s">
        <v>63</v>
      </c>
      <c r="E17" s="58"/>
      <c r="F17" s="57">
        <f>F13-FY_2023!F14</f>
        <v>1543963</v>
      </c>
      <c r="G17" s="57">
        <f>G13-FY_2023!G14</f>
        <v>613199</v>
      </c>
      <c r="H17" s="57">
        <f>H13-FY_2023!H14</f>
        <v>209281</v>
      </c>
      <c r="I17" s="57">
        <f>I13-FY_2023!I14</f>
        <v>230061</v>
      </c>
      <c r="J17" s="57">
        <f>J13-FY_2023!J14</f>
        <v>-210007</v>
      </c>
      <c r="K17" s="57">
        <f>K13-FY_2023!K14</f>
        <v>210033</v>
      </c>
      <c r="L17" s="57">
        <f>L13-FY_2023!L14</f>
        <v>24636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2621166</v>
      </c>
    </row>
    <row r="18" spans="1:17" x14ac:dyDescent="0.25">
      <c r="A18" t="s">
        <v>73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"/>
  <sheetViews>
    <sheetView workbookViewId="0">
      <selection activeCell="J22" sqref="J22"/>
    </sheetView>
  </sheetViews>
  <sheetFormatPr defaultRowHeight="15" x14ac:dyDescent="0.25"/>
  <cols>
    <col min="1" max="1" width="4.5703125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5.7109375" bestFit="1" customWidth="1"/>
    <col min="16" max="16" width="3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11007434</v>
      </c>
      <c r="G3" s="1">
        <v>31201</v>
      </c>
      <c r="H3" s="1">
        <v>1931192</v>
      </c>
      <c r="I3" s="1">
        <v>2151972</v>
      </c>
      <c r="J3" s="1">
        <v>0</v>
      </c>
      <c r="K3" s="1">
        <v>1090197</v>
      </c>
      <c r="L3" s="1">
        <v>118026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11512694</v>
      </c>
      <c r="G4" s="1">
        <v>157092</v>
      </c>
      <c r="H4" s="1">
        <v>1961182</v>
      </c>
      <c r="I4" s="1">
        <v>2197576</v>
      </c>
      <c r="J4" s="1">
        <v>0</v>
      </c>
      <c r="K4" s="1">
        <v>1227662</v>
      </c>
      <c r="L4" s="1">
        <v>145893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23358222</v>
      </c>
      <c r="G5" s="1">
        <v>251273</v>
      </c>
      <c r="H5" s="1">
        <v>3943552</v>
      </c>
      <c r="I5" s="1">
        <v>4398032</v>
      </c>
      <c r="J5" s="1">
        <v>0</v>
      </c>
      <c r="K5" s="1">
        <v>2911789</v>
      </c>
      <c r="L5" s="1">
        <v>334906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17015470</v>
      </c>
      <c r="G6" s="1">
        <v>249019</v>
      </c>
      <c r="H6" s="1">
        <v>2930574</v>
      </c>
      <c r="I6" s="1">
        <v>3202075</v>
      </c>
      <c r="J6" s="1">
        <v>0</v>
      </c>
      <c r="K6" s="1">
        <v>1567084</v>
      </c>
      <c r="L6" s="1">
        <v>183755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25427889</v>
      </c>
      <c r="G7" s="1">
        <v>148501</v>
      </c>
      <c r="H7" s="1">
        <v>4491711</v>
      </c>
      <c r="I7" s="1">
        <v>4937565</v>
      </c>
      <c r="J7" s="1">
        <v>0</v>
      </c>
      <c r="K7" s="1">
        <v>2409358</v>
      </c>
      <c r="L7" s="1">
        <v>280361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51504984</v>
      </c>
      <c r="G8" s="1">
        <v>67862</v>
      </c>
      <c r="H8" s="1">
        <v>9246159</v>
      </c>
      <c r="I8" s="1">
        <v>10156641</v>
      </c>
      <c r="J8" s="1">
        <v>0</v>
      </c>
      <c r="K8" s="1">
        <v>4369544</v>
      </c>
      <c r="L8" s="1">
        <v>548625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15284925</v>
      </c>
      <c r="G9" s="1">
        <v>68386</v>
      </c>
      <c r="H9" s="1">
        <v>2771232</v>
      </c>
      <c r="I9" s="1">
        <v>3104286</v>
      </c>
      <c r="J9" s="1">
        <v>0</v>
      </c>
      <c r="K9" s="1">
        <v>1542788</v>
      </c>
      <c r="L9" s="1">
        <v>183899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14032843</v>
      </c>
      <c r="G10" s="1">
        <v>96356</v>
      </c>
      <c r="H10" s="1">
        <v>2307461</v>
      </c>
      <c r="I10" s="1">
        <v>2551223</v>
      </c>
      <c r="J10" s="1">
        <v>0</v>
      </c>
      <c r="K10" s="1">
        <v>1445760</v>
      </c>
      <c r="L10" s="1">
        <v>155641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12547344</v>
      </c>
      <c r="G11" s="1">
        <v>164961</v>
      </c>
      <c r="H11" s="1">
        <v>2132793</v>
      </c>
      <c r="I11" s="1">
        <v>2344219</v>
      </c>
      <c r="J11" s="1">
        <v>0</v>
      </c>
      <c r="K11" s="1">
        <v>1268922</v>
      </c>
      <c r="L11" s="1">
        <v>138765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181691805</v>
      </c>
      <c r="G13">
        <f t="shared" ref="G13:O13" si="0">SUM(G2:G11)</f>
        <v>1234651</v>
      </c>
      <c r="H13">
        <f t="shared" si="0"/>
        <v>31715856</v>
      </c>
      <c r="I13">
        <f t="shared" si="0"/>
        <v>35043589</v>
      </c>
      <c r="J13">
        <f t="shared" si="0"/>
        <v>0</v>
      </c>
      <c r="K13">
        <f t="shared" si="0"/>
        <v>17833104</v>
      </c>
      <c r="L13">
        <f t="shared" si="0"/>
        <v>2089871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262108875</v>
      </c>
    </row>
    <row r="15" spans="2:17" x14ac:dyDescent="0.25">
      <c r="M15">
        <f>FYXX_0!M15</f>
        <v>24557131</v>
      </c>
      <c r="O15">
        <f>(SUM(F13:L13))-M13</f>
        <v>262108875</v>
      </c>
      <c r="Q15">
        <f>F13+G13+H13+I13+J13+K13+L13-M15</f>
        <v>245051745</v>
      </c>
    </row>
    <row r="16" spans="2:17" x14ac:dyDescent="0.25">
      <c r="O16">
        <f>O15-Driver!K18</f>
        <v>-3605394</v>
      </c>
    </row>
    <row r="17" spans="1:17" x14ac:dyDescent="0.25">
      <c r="D17" s="58" t="s">
        <v>63</v>
      </c>
      <c r="E17" s="58"/>
      <c r="F17" s="57">
        <f>F13-FY_2023!F14</f>
        <v>2443289</v>
      </c>
      <c r="G17" s="57">
        <f>G13-FY_2023!G14</f>
        <v>273013</v>
      </c>
      <c r="H17" s="57">
        <f>H13-FY_2023!H14</f>
        <v>365262</v>
      </c>
      <c r="I17" s="57">
        <f>I13-FY_2023!I14</f>
        <v>406838</v>
      </c>
      <c r="J17" s="57">
        <f>J13-FY_2023!J14</f>
        <v>-210007</v>
      </c>
      <c r="K17" s="57">
        <f>K13-FY_2023!K14</f>
        <v>274965</v>
      </c>
      <c r="L17" s="57">
        <f>L13-FY_2023!L14</f>
        <v>32740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3586100</v>
      </c>
    </row>
    <row r="18" spans="1:17" x14ac:dyDescent="0.25">
      <c r="A18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"/>
  <sheetViews>
    <sheetView workbookViewId="0">
      <selection activeCell="O15" sqref="O15"/>
    </sheetView>
  </sheetViews>
  <sheetFormatPr defaultRowHeight="15" x14ac:dyDescent="0.25"/>
  <cols>
    <col min="1" max="1" width="5.7109375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3.140625" bestFit="1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11059628</v>
      </c>
      <c r="G3" s="1">
        <v>22245</v>
      </c>
      <c r="H3" s="1">
        <v>1940971</v>
      </c>
      <c r="I3" s="1">
        <v>2162382</v>
      </c>
      <c r="J3" s="1">
        <v>0</v>
      </c>
      <c r="K3" s="1">
        <v>1095033</v>
      </c>
      <c r="L3" s="1">
        <v>118612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11567973</v>
      </c>
      <c r="G4" s="1">
        <v>134755</v>
      </c>
      <c r="H4" s="1">
        <v>1971103</v>
      </c>
      <c r="I4" s="1">
        <v>2208131</v>
      </c>
      <c r="J4" s="1">
        <v>0</v>
      </c>
      <c r="K4" s="1">
        <v>1231575</v>
      </c>
      <c r="L4" s="1">
        <v>146357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23472616</v>
      </c>
      <c r="G5" s="1">
        <v>194185</v>
      </c>
      <c r="H5" s="1">
        <v>3963507</v>
      </c>
      <c r="I5" s="1">
        <v>4419273</v>
      </c>
      <c r="J5" s="1">
        <v>0</v>
      </c>
      <c r="K5" s="1">
        <v>2919183</v>
      </c>
      <c r="L5" s="1">
        <v>335787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17099399</v>
      </c>
      <c r="G6" s="1">
        <v>211172</v>
      </c>
      <c r="H6" s="1">
        <v>2945520</v>
      </c>
      <c r="I6" s="1">
        <v>3217988</v>
      </c>
      <c r="J6" s="1">
        <v>0</v>
      </c>
      <c r="K6" s="1">
        <v>1572347</v>
      </c>
      <c r="L6" s="1">
        <v>184375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25554057</v>
      </c>
      <c r="G7" s="1">
        <v>128124</v>
      </c>
      <c r="H7" s="1">
        <v>4514556</v>
      </c>
      <c r="I7" s="1">
        <v>4961887</v>
      </c>
      <c r="J7" s="1">
        <v>0</v>
      </c>
      <c r="K7" s="1">
        <v>2421030</v>
      </c>
      <c r="L7" s="1">
        <v>281732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51766216</v>
      </c>
      <c r="G8" s="1">
        <v>49156</v>
      </c>
      <c r="H8" s="1">
        <v>9293283</v>
      </c>
      <c r="I8" s="1">
        <v>10206799</v>
      </c>
      <c r="J8" s="1">
        <v>0</v>
      </c>
      <c r="K8" s="1">
        <v>4396077</v>
      </c>
      <c r="L8" s="1">
        <v>551737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15359052</v>
      </c>
      <c r="G9" s="1">
        <v>56355</v>
      </c>
      <c r="H9" s="1">
        <v>2785258</v>
      </c>
      <c r="I9" s="1">
        <v>3119222</v>
      </c>
      <c r="J9" s="1">
        <v>0</v>
      </c>
      <c r="K9" s="1">
        <v>1549409</v>
      </c>
      <c r="L9" s="1">
        <v>184682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14102264</v>
      </c>
      <c r="G10" s="1">
        <v>79065</v>
      </c>
      <c r="H10" s="1">
        <v>2319192</v>
      </c>
      <c r="I10" s="1">
        <v>2563716</v>
      </c>
      <c r="J10" s="1">
        <v>0</v>
      </c>
      <c r="K10" s="1">
        <v>1451929</v>
      </c>
      <c r="L10" s="1">
        <v>156373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12609924</v>
      </c>
      <c r="G11" s="1">
        <v>137694</v>
      </c>
      <c r="H11" s="1">
        <v>2143645</v>
      </c>
      <c r="I11" s="1">
        <v>2355773</v>
      </c>
      <c r="J11" s="1">
        <v>0</v>
      </c>
      <c r="K11" s="1">
        <v>1273328</v>
      </c>
      <c r="L11" s="1">
        <v>139316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182591129</v>
      </c>
      <c r="G13">
        <f t="shared" ref="G13:O13" si="0">SUM(G2:G11)</f>
        <v>1012751</v>
      </c>
      <c r="H13">
        <f t="shared" si="0"/>
        <v>31877035</v>
      </c>
      <c r="I13">
        <f t="shared" si="0"/>
        <v>35215171</v>
      </c>
      <c r="J13">
        <f t="shared" si="0"/>
        <v>0</v>
      </c>
      <c r="K13">
        <f t="shared" si="0"/>
        <v>17909911</v>
      </c>
      <c r="L13">
        <f t="shared" si="0"/>
        <v>2098971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263204967</v>
      </c>
    </row>
    <row r="15" spans="2:17" x14ac:dyDescent="0.25">
      <c r="M15">
        <f>FYXX_0!M15</f>
        <v>24557131</v>
      </c>
      <c r="O15">
        <f>(SUM(F13:L13))-M13</f>
        <v>263204967</v>
      </c>
      <c r="Q15">
        <f>F13+G13+H13+I13+J13+K13+L13-M15</f>
        <v>246147837</v>
      </c>
    </row>
    <row r="16" spans="2:17" x14ac:dyDescent="0.25">
      <c r="O16">
        <f>O15-Driver!K18</f>
        <v>-2509302</v>
      </c>
    </row>
    <row r="17" spans="1:17" x14ac:dyDescent="0.25">
      <c r="D17" s="58" t="s">
        <v>63</v>
      </c>
      <c r="E17" s="58"/>
      <c r="F17" s="57">
        <f>F13-FY_2023!F14</f>
        <v>3342613</v>
      </c>
      <c r="G17" s="57">
        <f>G13-FY_2023!G14</f>
        <v>51113</v>
      </c>
      <c r="H17" s="57">
        <f>H13-FY_2023!H14</f>
        <v>526441</v>
      </c>
      <c r="I17" s="57">
        <f>I13-FY_2023!I14</f>
        <v>578420</v>
      </c>
      <c r="J17" s="57">
        <f>J13-FY_2023!J14</f>
        <v>-210007</v>
      </c>
      <c r="K17" s="57">
        <f>K13-FY_2023!K14</f>
        <v>351772</v>
      </c>
      <c r="L17" s="57">
        <f>L13-FY_2023!L14</f>
        <v>41840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4682192</v>
      </c>
    </row>
    <row r="18" spans="1:17" x14ac:dyDescent="0.25">
      <c r="A18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"/>
  <sheetViews>
    <sheetView workbookViewId="0">
      <selection activeCell="E22" sqref="E22"/>
    </sheetView>
  </sheetViews>
  <sheetFormatPr defaultRowHeight="15" x14ac:dyDescent="0.25"/>
  <cols>
    <col min="1" max="1" width="10.7109375" bestFit="1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2" bestFit="1" customWidth="1"/>
    <col min="16" max="16" width="3.42578125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11111819</v>
      </c>
      <c r="G3" s="1">
        <v>16699</v>
      </c>
      <c r="H3" s="1">
        <v>1950435</v>
      </c>
      <c r="I3" s="1">
        <v>2172787</v>
      </c>
      <c r="J3" s="1">
        <v>0</v>
      </c>
      <c r="K3" s="1">
        <v>1100168</v>
      </c>
      <c r="L3" s="1">
        <v>119226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11623250</v>
      </c>
      <c r="G4" s="1">
        <v>113432</v>
      </c>
      <c r="H4" s="1">
        <v>1980698</v>
      </c>
      <c r="I4" s="1">
        <v>2218687</v>
      </c>
      <c r="J4" s="1">
        <v>0</v>
      </c>
      <c r="K4" s="1">
        <v>1235727</v>
      </c>
      <c r="L4" s="1">
        <v>146847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23587013</v>
      </c>
      <c r="G5" s="1">
        <v>158346</v>
      </c>
      <c r="H5" s="1">
        <v>3982820</v>
      </c>
      <c r="I5" s="1">
        <v>4440517</v>
      </c>
      <c r="J5" s="1">
        <v>0</v>
      </c>
      <c r="K5" s="1">
        <v>2927535</v>
      </c>
      <c r="L5" s="1">
        <v>336793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17183335</v>
      </c>
      <c r="G6" s="1">
        <v>174042</v>
      </c>
      <c r="H6" s="1">
        <v>2959989</v>
      </c>
      <c r="I6" s="1">
        <v>3233902</v>
      </c>
      <c r="J6" s="1">
        <v>0</v>
      </c>
      <c r="K6" s="1">
        <v>1578585</v>
      </c>
      <c r="L6" s="1">
        <v>185131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25680224</v>
      </c>
      <c r="G7" s="1">
        <v>109437</v>
      </c>
      <c r="H7" s="1">
        <v>4536666</v>
      </c>
      <c r="I7" s="1">
        <v>4986204</v>
      </c>
      <c r="J7" s="1">
        <v>0</v>
      </c>
      <c r="K7" s="1">
        <v>2432940</v>
      </c>
      <c r="L7" s="1">
        <v>283142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52027456</v>
      </c>
      <c r="G8" s="1">
        <v>38136</v>
      </c>
      <c r="H8" s="1">
        <v>9338883</v>
      </c>
      <c r="I8" s="1">
        <v>10256960</v>
      </c>
      <c r="J8" s="1">
        <v>0</v>
      </c>
      <c r="K8" s="1">
        <v>4422919</v>
      </c>
      <c r="L8" s="1">
        <v>554898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15433174</v>
      </c>
      <c r="G9" s="1">
        <v>45804</v>
      </c>
      <c r="H9" s="1">
        <v>2798833</v>
      </c>
      <c r="I9" s="1">
        <v>3134155</v>
      </c>
      <c r="J9" s="1">
        <v>0</v>
      </c>
      <c r="K9" s="1">
        <v>1556226</v>
      </c>
      <c r="L9" s="1">
        <v>185483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14171692</v>
      </c>
      <c r="G10" s="1">
        <v>66064</v>
      </c>
      <c r="H10" s="1">
        <v>2330547</v>
      </c>
      <c r="I10" s="1">
        <v>2576211</v>
      </c>
      <c r="J10" s="1">
        <v>0</v>
      </c>
      <c r="K10" s="1">
        <v>1458402</v>
      </c>
      <c r="L10" s="1">
        <v>157151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12672503</v>
      </c>
      <c r="G11" s="1">
        <v>113862</v>
      </c>
      <c r="H11" s="1">
        <v>2154145</v>
      </c>
      <c r="I11" s="1">
        <v>2367318</v>
      </c>
      <c r="J11" s="1">
        <v>0</v>
      </c>
      <c r="K11" s="1">
        <v>1278379</v>
      </c>
      <c r="L11" s="1">
        <v>139915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183490466</v>
      </c>
      <c r="G13">
        <f t="shared" ref="G13:O13" si="0">SUM(G2:G11)</f>
        <v>835822</v>
      </c>
      <c r="H13">
        <f t="shared" si="0"/>
        <v>32033016</v>
      </c>
      <c r="I13">
        <f t="shared" si="0"/>
        <v>35386741</v>
      </c>
      <c r="J13">
        <f t="shared" si="0"/>
        <v>0</v>
      </c>
      <c r="K13">
        <f t="shared" si="0"/>
        <v>17990881</v>
      </c>
      <c r="L13">
        <f t="shared" si="0"/>
        <v>2108586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264345511</v>
      </c>
    </row>
    <row r="15" spans="2:17" x14ac:dyDescent="0.25">
      <c r="M15">
        <f>FYXX_0!M15</f>
        <v>24557131</v>
      </c>
      <c r="O15">
        <f>(SUM(F13:L13))-M13</f>
        <v>264345511</v>
      </c>
      <c r="Q15">
        <f>F13+G13+H13+I13+J13+K13+L13-M15</f>
        <v>247288381</v>
      </c>
    </row>
    <row r="16" spans="2:17" x14ac:dyDescent="0.25">
      <c r="O16">
        <f>O15-Driver!K18</f>
        <v>-1368758</v>
      </c>
    </row>
    <row r="17" spans="1:17" x14ac:dyDescent="0.25">
      <c r="D17" s="58" t="s">
        <v>63</v>
      </c>
      <c r="E17" s="58"/>
      <c r="F17" s="57">
        <f>F13-FY_2023!F14</f>
        <v>4241950</v>
      </c>
      <c r="G17" s="57">
        <f>G13-FY_2023!G14</f>
        <v>-125816</v>
      </c>
      <c r="H17" s="57">
        <f>H13-FY_2023!H14</f>
        <v>682422</v>
      </c>
      <c r="I17" s="57">
        <f>I13-FY_2023!I14</f>
        <v>749990</v>
      </c>
      <c r="J17" s="57">
        <f>J13-FY_2023!J14</f>
        <v>-210007</v>
      </c>
      <c r="K17" s="57">
        <f>K13-FY_2023!K14</f>
        <v>432742</v>
      </c>
      <c r="L17" s="57">
        <f>L13-FY_2023!L14</f>
        <v>51455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5822736</v>
      </c>
    </row>
    <row r="18" spans="1:17" x14ac:dyDescent="0.25">
      <c r="A18" t="s">
        <v>73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"/>
  <sheetViews>
    <sheetView workbookViewId="0">
      <selection activeCell="J23" sqref="J23"/>
    </sheetView>
  </sheetViews>
  <sheetFormatPr defaultRowHeight="15" x14ac:dyDescent="0.25"/>
  <cols>
    <col min="1" max="1" width="5.7109375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3.140625" bestFit="1" customWidth="1"/>
    <col min="16" max="16" width="2.5703125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11164012</v>
      </c>
      <c r="G3" s="1">
        <v>13589</v>
      </c>
      <c r="H3" s="1">
        <v>1959896</v>
      </c>
      <c r="I3" s="1">
        <v>2183512</v>
      </c>
      <c r="J3" s="1">
        <v>0</v>
      </c>
      <c r="K3" s="1">
        <v>1105209</v>
      </c>
      <c r="L3" s="1">
        <v>119857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11678523</v>
      </c>
      <c r="G4" s="1">
        <v>95144</v>
      </c>
      <c r="H4" s="1">
        <v>1990292</v>
      </c>
      <c r="I4" s="1">
        <v>2229564</v>
      </c>
      <c r="J4" s="1">
        <v>0</v>
      </c>
      <c r="K4" s="1">
        <v>1240021</v>
      </c>
      <c r="L4" s="1">
        <v>147386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23701413</v>
      </c>
      <c r="G5" s="1">
        <v>137698</v>
      </c>
      <c r="H5" s="1">
        <v>4002131</v>
      </c>
      <c r="I5" s="1">
        <v>4462406</v>
      </c>
      <c r="J5" s="1">
        <v>0</v>
      </c>
      <c r="K5" s="1">
        <v>2936965</v>
      </c>
      <c r="L5" s="1">
        <v>338001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17267265</v>
      </c>
      <c r="G6" s="1">
        <v>138092</v>
      </c>
      <c r="H6" s="1">
        <v>2974457</v>
      </c>
      <c r="I6" s="1">
        <v>3250299</v>
      </c>
      <c r="J6" s="1">
        <v>0</v>
      </c>
      <c r="K6" s="1">
        <v>1586335</v>
      </c>
      <c r="L6" s="1">
        <v>186100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25806392</v>
      </c>
      <c r="G7" s="1">
        <v>94706</v>
      </c>
      <c r="H7" s="1">
        <v>4558772</v>
      </c>
      <c r="I7" s="1">
        <v>5011260</v>
      </c>
      <c r="J7" s="1">
        <v>0</v>
      </c>
      <c r="K7" s="1">
        <v>2444501</v>
      </c>
      <c r="L7" s="1">
        <v>284588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52288684</v>
      </c>
      <c r="G8" s="1">
        <v>29469</v>
      </c>
      <c r="H8" s="1">
        <v>9384481</v>
      </c>
      <c r="I8" s="1">
        <v>10308641</v>
      </c>
      <c r="J8" s="1">
        <v>0</v>
      </c>
      <c r="K8" s="1">
        <v>4448296</v>
      </c>
      <c r="L8" s="1">
        <v>558064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15507306</v>
      </c>
      <c r="G9" s="1">
        <v>38145</v>
      </c>
      <c r="H9" s="1">
        <v>2812415</v>
      </c>
      <c r="I9" s="1">
        <v>3149538</v>
      </c>
      <c r="J9" s="1">
        <v>0</v>
      </c>
      <c r="K9" s="1">
        <v>1562971</v>
      </c>
      <c r="L9" s="1">
        <v>186325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14241109</v>
      </c>
      <c r="G10" s="1">
        <v>57316</v>
      </c>
      <c r="H10" s="1">
        <v>2341902</v>
      </c>
      <c r="I10" s="1">
        <v>2589075</v>
      </c>
      <c r="J10" s="1">
        <v>0</v>
      </c>
      <c r="K10" s="1">
        <v>1464731</v>
      </c>
      <c r="L10" s="1">
        <v>157944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12735080</v>
      </c>
      <c r="G11" s="1">
        <v>96549</v>
      </c>
      <c r="H11" s="1">
        <v>2164647</v>
      </c>
      <c r="I11" s="1">
        <v>2379223</v>
      </c>
      <c r="J11" s="1">
        <v>0</v>
      </c>
      <c r="K11" s="1">
        <v>1283409</v>
      </c>
      <c r="L11" s="1">
        <v>140563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184389784</v>
      </c>
      <c r="G13">
        <f t="shared" ref="G13:O13" si="0">SUM(G2:G11)</f>
        <v>700708</v>
      </c>
      <c r="H13">
        <f t="shared" si="0"/>
        <v>32188993</v>
      </c>
      <c r="I13">
        <f t="shared" si="0"/>
        <v>35563518</v>
      </c>
      <c r="J13">
        <f t="shared" si="0"/>
        <v>0</v>
      </c>
      <c r="K13">
        <f t="shared" si="0"/>
        <v>18072438</v>
      </c>
      <c r="L13">
        <f t="shared" si="0"/>
        <v>2118828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265534268</v>
      </c>
    </row>
    <row r="15" spans="2:17" x14ac:dyDescent="0.25">
      <c r="M15">
        <f>FYXX_0!M15</f>
        <v>24557131</v>
      </c>
      <c r="O15">
        <f>(SUM(F13:L13))-M13</f>
        <v>265534268</v>
      </c>
      <c r="Q15">
        <f>F13+G13+H13+I13+J13+K13+L13-M15</f>
        <v>248477138</v>
      </c>
    </row>
    <row r="16" spans="2:17" x14ac:dyDescent="0.25">
      <c r="O16">
        <f>O15-Driver!K18</f>
        <v>-180001</v>
      </c>
    </row>
    <row r="17" spans="1:17" x14ac:dyDescent="0.25">
      <c r="D17" s="58" t="s">
        <v>63</v>
      </c>
      <c r="E17" s="58"/>
      <c r="F17" s="57">
        <f>F13-FY_2023!F14</f>
        <v>5141268</v>
      </c>
      <c r="G17" s="57">
        <f>G13-FY_2023!G14</f>
        <v>-260930</v>
      </c>
      <c r="H17" s="57">
        <f>H13-FY_2023!H14</f>
        <v>838399</v>
      </c>
      <c r="I17" s="57">
        <f>I13-FY_2023!I14</f>
        <v>926767</v>
      </c>
      <c r="J17" s="57">
        <f>J13-FY_2023!J14</f>
        <v>-210007</v>
      </c>
      <c r="K17" s="57">
        <f>K13-FY_2023!K14</f>
        <v>514299</v>
      </c>
      <c r="L17" s="57">
        <f>L13-FY_2023!L14</f>
        <v>61697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7011493</v>
      </c>
    </row>
    <row r="18" spans="1:17" x14ac:dyDescent="0.25">
      <c r="A18" t="s">
        <v>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8"/>
  <sheetViews>
    <sheetView workbookViewId="0">
      <selection activeCell="G21" sqref="G21"/>
    </sheetView>
  </sheetViews>
  <sheetFormatPr defaultRowHeight="15" x14ac:dyDescent="0.25"/>
  <cols>
    <col min="1" max="1" width="3.5703125" customWidth="1"/>
    <col min="2" max="2" width="4.85546875" bestFit="1" customWidth="1"/>
    <col min="3" max="3" width="4.42578125" bestFit="1" customWidth="1"/>
    <col min="4" max="4" width="8.5703125" bestFit="1" customWidth="1"/>
    <col min="5" max="5" width="8.7109375" bestFit="1" customWidth="1"/>
    <col min="6" max="6" width="13.140625" bestFit="1" customWidth="1"/>
    <col min="7" max="7" width="11" bestFit="1" customWidth="1"/>
    <col min="8" max="9" width="12" bestFit="1" customWidth="1"/>
    <col min="10" max="10" width="9.28515625" bestFit="1" customWidth="1"/>
    <col min="11" max="11" width="12" bestFit="1" customWidth="1"/>
    <col min="12" max="13" width="11" bestFit="1" customWidth="1"/>
    <col min="14" max="14" width="10.42578125" bestFit="1" customWidth="1"/>
    <col min="15" max="15" width="13" customWidth="1"/>
    <col min="16" max="16" width="4.42578125" customWidth="1"/>
    <col min="17" max="17" width="12" bestFit="1" customWidth="1"/>
  </cols>
  <sheetData>
    <row r="1" spans="2:17" ht="15.75" thickBot="1" x14ac:dyDescent="0.3"/>
    <row r="2" spans="2:17" ht="30" x14ac:dyDescent="0.25">
      <c r="B2" s="44" t="s">
        <v>0</v>
      </c>
      <c r="C2" s="45" t="s">
        <v>13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</row>
    <row r="3" spans="2:17" x14ac:dyDescent="0.25">
      <c r="B3" s="46">
        <v>1</v>
      </c>
      <c r="C3" s="1">
        <v>1</v>
      </c>
      <c r="D3" s="1">
        <v>0</v>
      </c>
      <c r="E3" s="1">
        <v>21</v>
      </c>
      <c r="F3" s="1">
        <v>11216201</v>
      </c>
      <c r="G3" s="1">
        <v>10552</v>
      </c>
      <c r="H3" s="1">
        <v>1969358</v>
      </c>
      <c r="I3" s="1">
        <v>2193922</v>
      </c>
      <c r="J3" s="1">
        <v>0</v>
      </c>
      <c r="K3" s="1">
        <v>1110570</v>
      </c>
      <c r="L3" s="1">
        <v>120492</v>
      </c>
      <c r="M3" s="1">
        <v>523203</v>
      </c>
      <c r="N3" s="1">
        <v>32217.51</v>
      </c>
      <c r="O3" s="1">
        <v>31540</v>
      </c>
    </row>
    <row r="4" spans="2:17" x14ac:dyDescent="0.25">
      <c r="B4" s="46">
        <v>2</v>
      </c>
      <c r="C4" s="1">
        <v>5</v>
      </c>
      <c r="D4" s="1">
        <v>0</v>
      </c>
      <c r="E4" s="1">
        <v>38</v>
      </c>
      <c r="F4" s="1">
        <v>11733799</v>
      </c>
      <c r="G4" s="1">
        <v>78277</v>
      </c>
      <c r="H4" s="1">
        <v>1999890</v>
      </c>
      <c r="I4" s="1">
        <v>2240119</v>
      </c>
      <c r="J4" s="1">
        <v>0</v>
      </c>
      <c r="K4" s="1">
        <v>1244625</v>
      </c>
      <c r="L4" s="1">
        <v>147928</v>
      </c>
      <c r="M4" s="1">
        <v>562462</v>
      </c>
      <c r="N4" s="1">
        <v>34120.79</v>
      </c>
      <c r="O4" s="1">
        <v>31988</v>
      </c>
    </row>
    <row r="5" spans="2:17" x14ac:dyDescent="0.25">
      <c r="B5" s="46">
        <v>3</v>
      </c>
      <c r="C5" s="1">
        <v>7</v>
      </c>
      <c r="D5" s="1">
        <v>0</v>
      </c>
      <c r="E5" s="1">
        <v>53</v>
      </c>
      <c r="F5" s="1">
        <v>23815806</v>
      </c>
      <c r="G5" s="1">
        <v>120469</v>
      </c>
      <c r="H5" s="1">
        <v>4021446</v>
      </c>
      <c r="I5" s="1">
        <v>4483647</v>
      </c>
      <c r="J5" s="1">
        <v>0</v>
      </c>
      <c r="K5" s="1">
        <v>2948229</v>
      </c>
      <c r="L5" s="1">
        <v>339349</v>
      </c>
      <c r="M5" s="1">
        <v>1062520</v>
      </c>
      <c r="N5" s="1">
        <v>70615.570000000007</v>
      </c>
      <c r="O5" s="1">
        <v>64374</v>
      </c>
    </row>
    <row r="6" spans="2:17" x14ac:dyDescent="0.25">
      <c r="B6" s="46">
        <v>4</v>
      </c>
      <c r="C6" s="1">
        <v>9</v>
      </c>
      <c r="D6" s="1">
        <v>0</v>
      </c>
      <c r="E6" s="1">
        <v>21</v>
      </c>
      <c r="F6" s="1">
        <v>17351200</v>
      </c>
      <c r="G6" s="1">
        <v>104207</v>
      </c>
      <c r="H6" s="1">
        <v>2988923</v>
      </c>
      <c r="I6" s="1">
        <v>3266212</v>
      </c>
      <c r="J6" s="1">
        <v>0</v>
      </c>
      <c r="K6" s="1">
        <v>1594704</v>
      </c>
      <c r="L6" s="1">
        <v>187092</v>
      </c>
      <c r="M6" s="1">
        <v>755362</v>
      </c>
      <c r="N6" s="1">
        <v>51810.09</v>
      </c>
      <c r="O6" s="1">
        <v>48224</v>
      </c>
    </row>
    <row r="7" spans="2:17" x14ac:dyDescent="0.25">
      <c r="B7" s="46">
        <v>5</v>
      </c>
      <c r="C7" s="1">
        <v>10</v>
      </c>
      <c r="D7" s="1">
        <v>0</v>
      </c>
      <c r="E7" s="1">
        <v>32</v>
      </c>
      <c r="F7" s="1">
        <v>25932556</v>
      </c>
      <c r="G7" s="1">
        <v>80473</v>
      </c>
      <c r="H7" s="1">
        <v>4580882</v>
      </c>
      <c r="I7" s="1">
        <v>5035582</v>
      </c>
      <c r="J7" s="1">
        <v>0</v>
      </c>
      <c r="K7" s="1">
        <v>2456905</v>
      </c>
      <c r="L7" s="1">
        <v>286053</v>
      </c>
      <c r="M7" s="1">
        <v>971934</v>
      </c>
      <c r="N7" s="1">
        <v>77880.22</v>
      </c>
      <c r="O7" s="1">
        <v>73695</v>
      </c>
    </row>
    <row r="8" spans="2:17" x14ac:dyDescent="0.25">
      <c r="B8" s="46">
        <v>6</v>
      </c>
      <c r="C8" s="1">
        <v>11</v>
      </c>
      <c r="D8" s="1">
        <v>0</v>
      </c>
      <c r="E8" s="1">
        <v>53</v>
      </c>
      <c r="F8" s="1">
        <v>52549921</v>
      </c>
      <c r="G8" s="1">
        <v>23368</v>
      </c>
      <c r="H8" s="1">
        <v>9430082</v>
      </c>
      <c r="I8" s="1">
        <v>10358799</v>
      </c>
      <c r="J8" s="1">
        <v>0</v>
      </c>
      <c r="K8" s="1">
        <v>4475428</v>
      </c>
      <c r="L8" s="1">
        <v>561251</v>
      </c>
      <c r="M8" s="1">
        <v>1735062</v>
      </c>
      <c r="N8" s="1">
        <v>161255.43</v>
      </c>
      <c r="O8" s="1">
        <v>152000</v>
      </c>
    </row>
    <row r="9" spans="2:17" x14ac:dyDescent="0.25">
      <c r="B9" s="46">
        <v>7</v>
      </c>
      <c r="C9" s="1">
        <v>12</v>
      </c>
      <c r="D9" s="1">
        <v>0</v>
      </c>
      <c r="E9" s="1">
        <v>34</v>
      </c>
      <c r="F9" s="1">
        <v>15581430</v>
      </c>
      <c r="G9" s="1">
        <v>31999</v>
      </c>
      <c r="H9" s="1">
        <v>2825990</v>
      </c>
      <c r="I9" s="1">
        <v>3164474</v>
      </c>
      <c r="J9" s="1">
        <v>0</v>
      </c>
      <c r="K9" s="1">
        <v>1570316</v>
      </c>
      <c r="L9" s="1">
        <v>187189</v>
      </c>
      <c r="M9" s="1">
        <v>644836</v>
      </c>
      <c r="N9" s="1">
        <v>45757.760000000002</v>
      </c>
      <c r="O9" s="1">
        <v>45252</v>
      </c>
    </row>
    <row r="10" spans="2:17" x14ac:dyDescent="0.25">
      <c r="B10" s="46">
        <v>8</v>
      </c>
      <c r="C10" s="1">
        <v>13</v>
      </c>
      <c r="D10" s="1">
        <v>0</v>
      </c>
      <c r="E10" s="1">
        <v>43</v>
      </c>
      <c r="F10" s="1">
        <v>14310536</v>
      </c>
      <c r="G10" s="1">
        <v>49638</v>
      </c>
      <c r="H10" s="1">
        <v>2353258</v>
      </c>
      <c r="I10" s="1">
        <v>2601568</v>
      </c>
      <c r="J10" s="1">
        <v>0</v>
      </c>
      <c r="K10" s="1">
        <v>1471486</v>
      </c>
      <c r="L10" s="1">
        <v>158737</v>
      </c>
      <c r="M10" s="1">
        <v>644927</v>
      </c>
      <c r="N10" s="1">
        <v>42853.61</v>
      </c>
      <c r="O10" s="1">
        <v>37852</v>
      </c>
    </row>
    <row r="11" spans="2:17" x14ac:dyDescent="0.25">
      <c r="B11" s="46">
        <v>9</v>
      </c>
      <c r="C11" s="1">
        <v>15</v>
      </c>
      <c r="D11" s="1">
        <v>0</v>
      </c>
      <c r="E11" s="1">
        <v>32</v>
      </c>
      <c r="F11" s="1">
        <v>12797656</v>
      </c>
      <c r="G11" s="1">
        <v>84859</v>
      </c>
      <c r="H11" s="1">
        <v>2175147</v>
      </c>
      <c r="I11" s="1">
        <v>2390777</v>
      </c>
      <c r="J11" s="1">
        <v>0</v>
      </c>
      <c r="K11" s="1">
        <v>1288985</v>
      </c>
      <c r="L11" s="1">
        <v>141240</v>
      </c>
      <c r="M11" s="1">
        <v>599695</v>
      </c>
      <c r="N11" s="1">
        <v>38628.61</v>
      </c>
      <c r="O11" s="1">
        <v>35004</v>
      </c>
    </row>
    <row r="13" spans="2:17" x14ac:dyDescent="0.25">
      <c r="F13">
        <f>SUM(F2:F11)</f>
        <v>185289105</v>
      </c>
      <c r="G13">
        <f t="shared" ref="G13:O13" si="0">SUM(G2:G11)</f>
        <v>583842</v>
      </c>
      <c r="H13">
        <f t="shared" si="0"/>
        <v>32344976</v>
      </c>
      <c r="I13">
        <f t="shared" si="0"/>
        <v>35735100</v>
      </c>
      <c r="J13">
        <f t="shared" si="0"/>
        <v>0</v>
      </c>
      <c r="K13">
        <f t="shared" si="0"/>
        <v>18161248</v>
      </c>
      <c r="L13">
        <f t="shared" si="0"/>
        <v>2129331</v>
      </c>
      <c r="M13">
        <f t="shared" si="0"/>
        <v>7500001</v>
      </c>
      <c r="N13">
        <f t="shared" si="0"/>
        <v>555139.59</v>
      </c>
      <c r="O13">
        <f t="shared" si="0"/>
        <v>519929</v>
      </c>
      <c r="Q13">
        <f>F13+G13+H13+I13+J13+K13+L13-M13</f>
        <v>266743601</v>
      </c>
    </row>
    <row r="15" spans="2:17" x14ac:dyDescent="0.25">
      <c r="M15">
        <f>FYXX_0!M15</f>
        <v>24557131</v>
      </c>
      <c r="O15">
        <f>(SUM(F13:L13))-M13</f>
        <v>266743601</v>
      </c>
      <c r="Q15">
        <f>F13+G13+H13+I13+J13+K13+L13-M15</f>
        <v>249686471</v>
      </c>
    </row>
    <row r="16" spans="2:17" x14ac:dyDescent="0.25">
      <c r="O16">
        <f>O15-Driver!K18</f>
        <v>1029332</v>
      </c>
    </row>
    <row r="17" spans="1:17" x14ac:dyDescent="0.25">
      <c r="D17" s="58" t="s">
        <v>63</v>
      </c>
      <c r="E17" s="58"/>
      <c r="F17" s="57">
        <f>F13-FY_2023!F14</f>
        <v>6040589</v>
      </c>
      <c r="G17" s="57">
        <f>G13-FY_2023!G14</f>
        <v>-377796</v>
      </c>
      <c r="H17" s="57">
        <f>H13-FY_2023!H14</f>
        <v>994382</v>
      </c>
      <c r="I17" s="57">
        <f>I13-FY_2023!I14</f>
        <v>1098349</v>
      </c>
      <c r="J17" s="57">
        <f>J13-FY_2023!J14</f>
        <v>-210007</v>
      </c>
      <c r="K17" s="57">
        <f>K13-FY_2023!K14</f>
        <v>603109</v>
      </c>
      <c r="L17" s="57">
        <f>L13-FY_2023!L14</f>
        <v>72200</v>
      </c>
      <c r="M17" s="57">
        <f>M13-FY_2023!M14</f>
        <v>-41614261</v>
      </c>
      <c r="N17" s="55">
        <f>N13-FY_2023!N14</f>
        <v>2030.1500000000233</v>
      </c>
      <c r="O17" s="55">
        <f>O13-FY_2023!O14</f>
        <v>886</v>
      </c>
      <c r="P17" s="56"/>
      <c r="Q17" s="57">
        <f>Q15-FY_2023!Q14</f>
        <v>8220826</v>
      </c>
    </row>
    <row r="18" spans="1:17" x14ac:dyDescent="0.25">
      <c r="A1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Driver</vt:lpstr>
      <vt:lpstr>Notes</vt:lpstr>
      <vt:lpstr>FYXX_0</vt:lpstr>
      <vt:lpstr>FYXX_.05</vt:lpstr>
      <vt:lpstr>FYXX_1</vt:lpstr>
      <vt:lpstr>FYXX_1.5</vt:lpstr>
      <vt:lpstr>FYXX_2.0</vt:lpstr>
      <vt:lpstr>FYXX_2.5</vt:lpstr>
      <vt:lpstr>FYXX_3</vt:lpstr>
      <vt:lpstr>FYXX_3.5</vt:lpstr>
      <vt:lpstr>FYXX_4</vt:lpstr>
      <vt:lpstr>AEA_Names</vt:lpstr>
      <vt:lpstr>FY_2023</vt:lpstr>
      <vt:lpstr>Keystone</vt:lpstr>
      <vt:lpstr>PrairieLakes</vt:lpstr>
      <vt:lpstr>CentralRivers</vt:lpstr>
      <vt:lpstr>Miss_Bend</vt:lpstr>
      <vt:lpstr>GrantWood</vt:lpstr>
      <vt:lpstr>Heartland</vt:lpstr>
      <vt:lpstr>Northwest</vt:lpstr>
      <vt:lpstr>GreenHills</vt:lpstr>
      <vt:lpstr>GreatPrairie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Shawn Snyder</cp:lastModifiedBy>
  <cp:lastPrinted>2017-10-19T12:51:40Z</cp:lastPrinted>
  <dcterms:created xsi:type="dcterms:W3CDTF">2015-01-27T18:08:25Z</dcterms:created>
  <dcterms:modified xsi:type="dcterms:W3CDTF">2023-01-04T21:54:44Z</dcterms:modified>
</cp:coreProperties>
</file>