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WebPostings_IASB\Advocacy_Tools\2024_Session\"/>
    </mc:Choice>
  </mc:AlternateContent>
  <xr:revisionPtr revIDLastSave="0" documentId="13_ncr:1_{FD7CF73C-5B9B-4CC0-BF1C-4D0148ACAE06}" xr6:coauthVersionLast="47" xr6:coauthVersionMax="47" xr10:uidLastSave="{00000000-0000-0000-0000-000000000000}"/>
  <workbookProtection workbookAlgorithmName="SHA-512" workbookHashValue="9cbF7j8/tLoDeDcq4f7uKmRzwONCgBiiEjcabwiQu5an4zr6PQ5LgpIn7ZbRSddWPOTH144ZRgvSzbOwCrDyZQ==" workbookSaltValue="KN8Z8qJzqy0Ot/ben816tQ==" workbookSpinCount="100000" lockStructure="1"/>
  <bookViews>
    <workbookView xWindow="-108" yWindow="-108" windowWidth="23256" windowHeight="12456" tabRatio="921" xr2:uid="{00000000-000D-0000-FFFF-FFFF00000000}"/>
  </bookViews>
  <sheets>
    <sheet name="Driver" sheetId="12" r:id="rId1"/>
    <sheet name="Notes" sheetId="25" state="hidden" r:id="rId2"/>
    <sheet name="FYXX_0" sheetId="2" state="hidden" r:id="rId3"/>
    <sheet name="FYXX_.05" sheetId="3" state="hidden" r:id="rId4"/>
    <sheet name="FYXX_1" sheetId="4" state="hidden" r:id="rId5"/>
    <sheet name="FYXX_1.5" sheetId="5" state="hidden" r:id="rId6"/>
    <sheet name="FYXX_2.0" sheetId="24" state="hidden" r:id="rId7"/>
    <sheet name="FYXX_2.5" sheetId="6" state="hidden" r:id="rId8"/>
    <sheet name="FYXX_3" sheetId="7" state="hidden" r:id="rId9"/>
    <sheet name="FYXX_3.5" sheetId="8" state="hidden" r:id="rId10"/>
    <sheet name="FYXX_4" sheetId="9" state="hidden" r:id="rId11"/>
    <sheet name="AEA_Names" sheetId="1" state="hidden" r:id="rId12"/>
    <sheet name="FY_2024" sheetId="14" state="hidden" r:id="rId13"/>
    <sheet name="Keystone" sheetId="15" r:id="rId14"/>
    <sheet name="PrairieLakes" sheetId="16" r:id="rId15"/>
    <sheet name="CentralRivers" sheetId="17" r:id="rId16"/>
    <sheet name="Miss_Bend" sheetId="18" r:id="rId17"/>
    <sheet name="GrantWood" sheetId="19" r:id="rId18"/>
    <sheet name="Heartland" sheetId="20" r:id="rId19"/>
    <sheet name="Northwest" sheetId="21" r:id="rId20"/>
    <sheet name="GreenHills" sheetId="22" r:id="rId21"/>
    <sheet name="GreatPrairie" sheetId="23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5" l="1"/>
  <c r="A13" i="20"/>
  <c r="G25" i="12"/>
  <c r="O13" i="9"/>
  <c r="N13" i="9"/>
  <c r="M13" i="9"/>
  <c r="L13" i="9"/>
  <c r="K13" i="9"/>
  <c r="J13" i="9"/>
  <c r="I13" i="9"/>
  <c r="H13" i="9"/>
  <c r="G13" i="9"/>
  <c r="F13" i="9"/>
  <c r="O13" i="8"/>
  <c r="N13" i="8"/>
  <c r="M13" i="8"/>
  <c r="L13" i="8"/>
  <c r="K13" i="8"/>
  <c r="J13" i="8"/>
  <c r="I13" i="8"/>
  <c r="H13" i="8"/>
  <c r="G13" i="8"/>
  <c r="F13" i="8"/>
  <c r="Q13" i="8" s="1"/>
  <c r="O13" i="7"/>
  <c r="N13" i="7"/>
  <c r="M13" i="7"/>
  <c r="L13" i="7"/>
  <c r="K13" i="7"/>
  <c r="J13" i="7"/>
  <c r="I13" i="7"/>
  <c r="H13" i="7"/>
  <c r="G13" i="7"/>
  <c r="F13" i="7"/>
  <c r="O13" i="6"/>
  <c r="N13" i="6"/>
  <c r="M13" i="6"/>
  <c r="L13" i="6"/>
  <c r="K13" i="6"/>
  <c r="J13" i="6"/>
  <c r="I13" i="6"/>
  <c r="H13" i="6"/>
  <c r="G13" i="6"/>
  <c r="F13" i="6"/>
  <c r="O13" i="24"/>
  <c r="N13" i="24"/>
  <c r="M13" i="24"/>
  <c r="L13" i="24"/>
  <c r="K13" i="24"/>
  <c r="J13" i="24"/>
  <c r="I13" i="24"/>
  <c r="H13" i="24"/>
  <c r="G13" i="24"/>
  <c r="F13" i="24"/>
  <c r="O13" i="5"/>
  <c r="N13" i="5"/>
  <c r="M13" i="5"/>
  <c r="L13" i="5"/>
  <c r="K13" i="5"/>
  <c r="K17" i="5" s="1"/>
  <c r="J13" i="5"/>
  <c r="I13" i="5"/>
  <c r="H13" i="5"/>
  <c r="G13" i="5"/>
  <c r="F13" i="5"/>
  <c r="O13" i="4"/>
  <c r="N13" i="4"/>
  <c r="M13" i="4"/>
  <c r="O15" i="4" s="1"/>
  <c r="L13" i="4"/>
  <c r="K13" i="4"/>
  <c r="K17" i="4" s="1"/>
  <c r="J13" i="4"/>
  <c r="I13" i="4"/>
  <c r="I17" i="4"/>
  <c r="H13" i="4"/>
  <c r="G13" i="4"/>
  <c r="F13" i="4"/>
  <c r="Q13" i="4" s="1"/>
  <c r="O13" i="3"/>
  <c r="N13" i="3"/>
  <c r="M13" i="3"/>
  <c r="L13" i="3"/>
  <c r="K13" i="3"/>
  <c r="J13" i="3"/>
  <c r="I13" i="3"/>
  <c r="I17" i="3" s="1"/>
  <c r="H13" i="3"/>
  <c r="G13" i="3"/>
  <c r="F13" i="3"/>
  <c r="Q13" i="3" s="1"/>
  <c r="O14" i="14"/>
  <c r="O17" i="5" s="1"/>
  <c r="N14" i="14"/>
  <c r="L14" i="14"/>
  <c r="K14" i="14"/>
  <c r="K17" i="3" s="1"/>
  <c r="J14" i="14"/>
  <c r="I14" i="14"/>
  <c r="H14" i="14"/>
  <c r="H17" i="4" s="1"/>
  <c r="G14" i="14"/>
  <c r="F14" i="14"/>
  <c r="R5" i="16"/>
  <c r="R5" i="17"/>
  <c r="R5" i="18" s="1"/>
  <c r="R5" i="19" s="1"/>
  <c r="R5" i="20" s="1"/>
  <c r="R5" i="21" s="1"/>
  <c r="R5" i="22" s="1"/>
  <c r="R5" i="23" s="1"/>
  <c r="Q5" i="16"/>
  <c r="Q5" i="17" s="1"/>
  <c r="Q5" i="18" s="1"/>
  <c r="Q5" i="19" s="1"/>
  <c r="Q5" i="20" s="1"/>
  <c r="Q5" i="21" s="1"/>
  <c r="Q5" i="22" s="1"/>
  <c r="Q5" i="23" s="1"/>
  <c r="O4" i="16"/>
  <c r="O4" i="17" s="1"/>
  <c r="O4" i="18" s="1"/>
  <c r="O4" i="19" s="1"/>
  <c r="O4" i="20" s="1"/>
  <c r="O4" i="21" s="1"/>
  <c r="O4" i="22" s="1"/>
  <c r="O4" i="23" s="1"/>
  <c r="A11" i="15"/>
  <c r="A11" i="21" s="1"/>
  <c r="D23" i="12"/>
  <c r="P19" i="12"/>
  <c r="Q19" i="12"/>
  <c r="M23" i="12"/>
  <c r="J27" i="12"/>
  <c r="J28" i="12"/>
  <c r="J29" i="12"/>
  <c r="J30" i="12"/>
  <c r="J31" i="12"/>
  <c r="J32" i="12"/>
  <c r="J33" i="12"/>
  <c r="J34" i="12"/>
  <c r="J26" i="12"/>
  <c r="A9" i="23"/>
  <c r="A7" i="23"/>
  <c r="A9" i="22"/>
  <c r="A7" i="22"/>
  <c r="A9" i="21"/>
  <c r="A7" i="21"/>
  <c r="A9" i="20"/>
  <c r="A7" i="20"/>
  <c r="A9" i="19"/>
  <c r="A7" i="19"/>
  <c r="A9" i="18"/>
  <c r="A7" i="18"/>
  <c r="K5" i="17"/>
  <c r="K5" i="18"/>
  <c r="K5" i="19"/>
  <c r="K5" i="20"/>
  <c r="K5" i="21"/>
  <c r="K5" i="22"/>
  <c r="K5" i="23"/>
  <c r="C5" i="17"/>
  <c r="C5" i="18"/>
  <c r="C5" i="19"/>
  <c r="C5" i="20"/>
  <c r="C5" i="21"/>
  <c r="C5" i="22"/>
  <c r="C5" i="23"/>
  <c r="D5" i="17"/>
  <c r="D5" i="18"/>
  <c r="D5" i="19"/>
  <c r="D5" i="20"/>
  <c r="D5" i="21"/>
  <c r="D5" i="22"/>
  <c r="D5" i="23"/>
  <c r="E5" i="17"/>
  <c r="E5" i="18"/>
  <c r="E5" i="19"/>
  <c r="E5" i="20"/>
  <c r="E5" i="21"/>
  <c r="E5" i="22"/>
  <c r="E5" i="23"/>
  <c r="F5" i="17"/>
  <c r="F5" i="18"/>
  <c r="F5" i="19"/>
  <c r="F5" i="20"/>
  <c r="F5" i="21"/>
  <c r="F5" i="22"/>
  <c r="F5" i="23"/>
  <c r="G5" i="17"/>
  <c r="G5" i="18"/>
  <c r="G5" i="19"/>
  <c r="G5" i="20"/>
  <c r="G5" i="21"/>
  <c r="G5" i="22"/>
  <c r="G5" i="23"/>
  <c r="H5" i="17"/>
  <c r="H5" i="18"/>
  <c r="H5" i="19"/>
  <c r="H5" i="20"/>
  <c r="H5" i="21"/>
  <c r="H5" i="22"/>
  <c r="H5" i="23"/>
  <c r="I5" i="17"/>
  <c r="I5" i="18"/>
  <c r="I5" i="19"/>
  <c r="I5" i="20"/>
  <c r="I5" i="21"/>
  <c r="I5" i="22"/>
  <c r="I5" i="23"/>
  <c r="J5" i="17"/>
  <c r="J5" i="18"/>
  <c r="J5" i="19"/>
  <c r="J5" i="20"/>
  <c r="J5" i="21"/>
  <c r="J5" i="22"/>
  <c r="J5" i="23"/>
  <c r="B5" i="17"/>
  <c r="B5" i="18"/>
  <c r="B5" i="19"/>
  <c r="B5" i="20"/>
  <c r="B5" i="21"/>
  <c r="B5" i="22"/>
  <c r="B5" i="23"/>
  <c r="A9" i="17"/>
  <c r="A7" i="17"/>
  <c r="M5" i="16"/>
  <c r="M5" i="17" s="1"/>
  <c r="M5" i="18" s="1"/>
  <c r="M5" i="19" s="1"/>
  <c r="M5" i="20" s="1"/>
  <c r="M5" i="21" s="1"/>
  <c r="M5" i="22" s="1"/>
  <c r="M5" i="23" s="1"/>
  <c r="L5" i="16"/>
  <c r="L5" i="17" s="1"/>
  <c r="L5" i="18" s="1"/>
  <c r="L5" i="19" s="1"/>
  <c r="L5" i="20" s="1"/>
  <c r="L5" i="21" s="1"/>
  <c r="L5" i="22" s="1"/>
  <c r="L5" i="23" s="1"/>
  <c r="C1" i="16"/>
  <c r="C1" i="17" s="1"/>
  <c r="C1" i="18" s="1"/>
  <c r="C1" i="19" s="1"/>
  <c r="C1" i="20" s="1"/>
  <c r="C1" i="21" s="1"/>
  <c r="C1" i="22" s="1"/>
  <c r="C1" i="23" s="1"/>
  <c r="A9" i="16"/>
  <c r="A7" i="16"/>
  <c r="A18" i="15"/>
  <c r="A17" i="16" s="1"/>
  <c r="A15" i="15"/>
  <c r="A15" i="20" s="1"/>
  <c r="A14" i="15"/>
  <c r="A14" i="23"/>
  <c r="P27" i="12"/>
  <c r="P28" i="12"/>
  <c r="P29" i="12"/>
  <c r="P30" i="12"/>
  <c r="P31" i="12"/>
  <c r="P32" i="12"/>
  <c r="P33" i="12"/>
  <c r="P34" i="12"/>
  <c r="P26" i="12"/>
  <c r="A14" i="17"/>
  <c r="A14" i="16"/>
  <c r="A14" i="18"/>
  <c r="A14" i="19"/>
  <c r="A14" i="20"/>
  <c r="A14" i="21"/>
  <c r="A14" i="22"/>
  <c r="G13" i="2"/>
  <c r="H13" i="2"/>
  <c r="I13" i="2"/>
  <c r="I17" i="2" s="1"/>
  <c r="J13" i="2"/>
  <c r="K13" i="2"/>
  <c r="K17" i="2" s="1"/>
  <c r="L13" i="2"/>
  <c r="M13" i="2"/>
  <c r="N13" i="2"/>
  <c r="O13" i="2"/>
  <c r="F13" i="2"/>
  <c r="J7" i="23"/>
  <c r="O11" i="23" s="1"/>
  <c r="D7" i="23"/>
  <c r="E7" i="23"/>
  <c r="F7" i="23"/>
  <c r="G7" i="23"/>
  <c r="H7" i="23"/>
  <c r="I7" i="23"/>
  <c r="C7" i="23"/>
  <c r="B11" i="23"/>
  <c r="B9" i="23"/>
  <c r="J7" i="22"/>
  <c r="M15" i="12"/>
  <c r="M33" i="12"/>
  <c r="D7" i="22"/>
  <c r="E7" i="22"/>
  <c r="F7" i="22"/>
  <c r="G7" i="22"/>
  <c r="H7" i="22"/>
  <c r="I7" i="22"/>
  <c r="C7" i="22"/>
  <c r="K7" i="22" s="1"/>
  <c r="B11" i="22"/>
  <c r="B9" i="22"/>
  <c r="J7" i="21"/>
  <c r="M14" i="12" s="1"/>
  <c r="D7" i="21"/>
  <c r="E7" i="21"/>
  <c r="F7" i="21"/>
  <c r="G7" i="21"/>
  <c r="H7" i="21"/>
  <c r="I7" i="21"/>
  <c r="C7" i="21"/>
  <c r="B11" i="21"/>
  <c r="B9" i="21"/>
  <c r="J7" i="20"/>
  <c r="O11" i="20" s="1"/>
  <c r="D7" i="20"/>
  <c r="E7" i="20"/>
  <c r="F7" i="20"/>
  <c r="G7" i="20"/>
  <c r="H7" i="20"/>
  <c r="I7" i="20"/>
  <c r="C7" i="20"/>
  <c r="B11" i="20"/>
  <c r="B9" i="20"/>
  <c r="J7" i="19"/>
  <c r="M12" i="12" s="1"/>
  <c r="D7" i="19"/>
  <c r="E7" i="19"/>
  <c r="F7" i="19"/>
  <c r="G7" i="19"/>
  <c r="H7" i="19"/>
  <c r="I7" i="19"/>
  <c r="C7" i="19"/>
  <c r="B11" i="19"/>
  <c r="B9" i="19"/>
  <c r="J7" i="18"/>
  <c r="M11" i="12" s="1"/>
  <c r="M29" i="12" s="1"/>
  <c r="D7" i="18"/>
  <c r="E7" i="18"/>
  <c r="F7" i="18"/>
  <c r="G7" i="18"/>
  <c r="H7" i="18"/>
  <c r="I7" i="18"/>
  <c r="C7" i="18"/>
  <c r="B11" i="18"/>
  <c r="B9" i="18"/>
  <c r="J7" i="17"/>
  <c r="O9" i="17" s="1"/>
  <c r="D7" i="17"/>
  <c r="E7" i="17"/>
  <c r="F7" i="17"/>
  <c r="G7" i="17"/>
  <c r="K7" i="17" s="1"/>
  <c r="H7" i="17"/>
  <c r="I7" i="17"/>
  <c r="C7" i="17"/>
  <c r="B11" i="17"/>
  <c r="B9" i="17"/>
  <c r="M13" i="12"/>
  <c r="M31" i="12" s="1"/>
  <c r="O9" i="21"/>
  <c r="M16" i="12"/>
  <c r="M34" i="12" s="1"/>
  <c r="O11" i="22"/>
  <c r="O9" i="22"/>
  <c r="J7" i="16"/>
  <c r="O9" i="16" s="1"/>
  <c r="D7" i="16"/>
  <c r="E7" i="16"/>
  <c r="F7" i="16"/>
  <c r="G7" i="16"/>
  <c r="H7" i="16"/>
  <c r="I7" i="16"/>
  <c r="C7" i="16"/>
  <c r="B11" i="16"/>
  <c r="B9" i="16"/>
  <c r="P37" i="12"/>
  <c r="Q37" i="12" s="1"/>
  <c r="B11" i="15"/>
  <c r="J7" i="15"/>
  <c r="O11" i="15" s="1"/>
  <c r="D7" i="15"/>
  <c r="E7" i="15"/>
  <c r="F7" i="15"/>
  <c r="G7" i="15"/>
  <c r="H7" i="15"/>
  <c r="I7" i="15"/>
  <c r="C7" i="15"/>
  <c r="B9" i="15"/>
  <c r="M12" i="14"/>
  <c r="M15" i="2" s="1"/>
  <c r="R11" i="14"/>
  <c r="S11" i="14"/>
  <c r="R10" i="14"/>
  <c r="S10" i="14"/>
  <c r="R9" i="14"/>
  <c r="S9" i="14" s="1"/>
  <c r="R8" i="14"/>
  <c r="S8" i="14"/>
  <c r="R7" i="14"/>
  <c r="S7" i="14"/>
  <c r="R6" i="14"/>
  <c r="S6" i="14" s="1"/>
  <c r="R5" i="14"/>
  <c r="S5" i="14" s="1"/>
  <c r="R4" i="14"/>
  <c r="S4" i="14"/>
  <c r="R3" i="14"/>
  <c r="S3" i="14"/>
  <c r="M8" i="12"/>
  <c r="M26" i="12"/>
  <c r="O9" i="15"/>
  <c r="G11" i="16"/>
  <c r="G11" i="18"/>
  <c r="G11" i="20"/>
  <c r="G11" i="22"/>
  <c r="G11" i="15"/>
  <c r="G11" i="17"/>
  <c r="G11" i="19"/>
  <c r="G11" i="21"/>
  <c r="G11" i="23"/>
  <c r="J11" i="17"/>
  <c r="J11" i="21"/>
  <c r="J11" i="19"/>
  <c r="J11" i="16"/>
  <c r="J11" i="15"/>
  <c r="J11" i="18"/>
  <c r="J11" i="22"/>
  <c r="J11" i="23"/>
  <c r="J11" i="20"/>
  <c r="G9" i="22"/>
  <c r="J9" i="20"/>
  <c r="J9" i="18"/>
  <c r="J9" i="15"/>
  <c r="J9" i="22"/>
  <c r="G9" i="19"/>
  <c r="G9" i="15"/>
  <c r="G9" i="23"/>
  <c r="G9" i="21"/>
  <c r="J9" i="19"/>
  <c r="G9" i="16"/>
  <c r="J9" i="23"/>
  <c r="J9" i="21"/>
  <c r="G9" i="20"/>
  <c r="G9" i="18"/>
  <c r="J9" i="16"/>
  <c r="G9" i="17"/>
  <c r="J9" i="17"/>
  <c r="G36" i="12"/>
  <c r="J36" i="12"/>
  <c r="J18" i="12"/>
  <c r="G18" i="12"/>
  <c r="J17" i="3"/>
  <c r="J17" i="4"/>
  <c r="J17" i="9"/>
  <c r="J17" i="2"/>
  <c r="J17" i="7"/>
  <c r="J17" i="5"/>
  <c r="J17" i="8"/>
  <c r="O11" i="21"/>
  <c r="I17" i="24"/>
  <c r="I17" i="7"/>
  <c r="I17" i="9"/>
  <c r="I17" i="6"/>
  <c r="F12" i="12"/>
  <c r="F9" i="19" s="1"/>
  <c r="E16" i="12"/>
  <c r="E9" i="23" s="1"/>
  <c r="H16" i="12"/>
  <c r="H9" i="23" s="1"/>
  <c r="F11" i="12"/>
  <c r="F9" i="18" s="1"/>
  <c r="A12" i="12"/>
  <c r="B12" i="12" s="1"/>
  <c r="C3" i="19" s="1"/>
  <c r="E13" i="12"/>
  <c r="E9" i="20" s="1"/>
  <c r="D15" i="12"/>
  <c r="D9" i="22" s="1"/>
  <c r="D9" i="12"/>
  <c r="D9" i="16" s="1"/>
  <c r="A13" i="12"/>
  <c r="B13" i="12" s="1"/>
  <c r="C3" i="20" s="1"/>
  <c r="H11" i="12"/>
  <c r="I8" i="12"/>
  <c r="I9" i="15" s="1"/>
  <c r="F8" i="12"/>
  <c r="F9" i="15" s="1"/>
  <c r="H14" i="12"/>
  <c r="H9" i="21" s="1"/>
  <c r="C14" i="12"/>
  <c r="C9" i="21" s="1"/>
  <c r="E11" i="12"/>
  <c r="E9" i="18" s="1"/>
  <c r="C16" i="12"/>
  <c r="C9" i="23" s="1"/>
  <c r="D16" i="12"/>
  <c r="D9" i="23" s="1"/>
  <c r="I10" i="12"/>
  <c r="I9" i="17" s="1"/>
  <c r="H15" i="12"/>
  <c r="H9" i="22" s="1"/>
  <c r="F16" i="12"/>
  <c r="F9" i="23" s="1"/>
  <c r="H9" i="12"/>
  <c r="H9" i="16" s="1"/>
  <c r="F9" i="12"/>
  <c r="F9" i="16" s="1"/>
  <c r="C11" i="12"/>
  <c r="C9" i="18" s="1"/>
  <c r="E15" i="12"/>
  <c r="E9" i="22" s="1"/>
  <c r="C8" i="12"/>
  <c r="C9" i="15" s="1"/>
  <c r="A15" i="12"/>
  <c r="B15" i="12" s="1"/>
  <c r="D12" i="12"/>
  <c r="D9" i="19" s="1"/>
  <c r="D11" i="12"/>
  <c r="D9" i="18" s="1"/>
  <c r="H10" i="12"/>
  <c r="H9" i="17" s="1"/>
  <c r="E14" i="12"/>
  <c r="E9" i="21" s="1"/>
  <c r="C10" i="12"/>
  <c r="C9" i="17" s="1"/>
  <c r="I15" i="12"/>
  <c r="I9" i="22" s="1"/>
  <c r="E10" i="12"/>
  <c r="E9" i="17" s="1"/>
  <c r="D10" i="12"/>
  <c r="D9" i="17" s="1"/>
  <c r="H8" i="12"/>
  <c r="H9" i="15" s="1"/>
  <c r="A14" i="12"/>
  <c r="B14" i="12" s="1"/>
  <c r="C3" i="21" s="1"/>
  <c r="F14" i="12"/>
  <c r="F9" i="21" s="1"/>
  <c r="C15" i="12"/>
  <c r="F13" i="12"/>
  <c r="F9" i="20" s="1"/>
  <c r="E8" i="12"/>
  <c r="E9" i="15" s="1"/>
  <c r="D14" i="12"/>
  <c r="D9" i="21" s="1"/>
  <c r="I14" i="12"/>
  <c r="I9" i="21" s="1"/>
  <c r="A8" i="12"/>
  <c r="B8" i="12" s="1"/>
  <c r="C3" i="15" s="1"/>
  <c r="E9" i="12"/>
  <c r="E9" i="16" s="1"/>
  <c r="F15" i="12"/>
  <c r="F9" i="22" s="1"/>
  <c r="D13" i="12"/>
  <c r="D9" i="20" s="1"/>
  <c r="I9" i="12"/>
  <c r="I9" i="16" s="1"/>
  <c r="A9" i="12"/>
  <c r="B9" i="12" s="1"/>
  <c r="C3" i="16" s="1"/>
  <c r="F10" i="12"/>
  <c r="F9" i="17" s="1"/>
  <c r="H12" i="12"/>
  <c r="H9" i="19" s="1"/>
  <c r="I12" i="12"/>
  <c r="I9" i="19" s="1"/>
  <c r="I13" i="12"/>
  <c r="I9" i="20" s="1"/>
  <c r="E12" i="12"/>
  <c r="C9" i="12"/>
  <c r="C9" i="16" s="1"/>
  <c r="A16" i="12"/>
  <c r="B16" i="12" s="1"/>
  <c r="C3" i="23" s="1"/>
  <c r="I16" i="12"/>
  <c r="I9" i="23" s="1"/>
  <c r="A10" i="12"/>
  <c r="B10" i="12" s="1"/>
  <c r="C3" i="17" s="1"/>
  <c r="H13" i="12"/>
  <c r="H9" i="20" s="1"/>
  <c r="C12" i="12"/>
  <c r="C9" i="19" s="1"/>
  <c r="D8" i="12"/>
  <c r="I11" i="12"/>
  <c r="I9" i="18" s="1"/>
  <c r="A11" i="12"/>
  <c r="B11" i="12" s="1"/>
  <c r="C3" i="18" s="1"/>
  <c r="C13" i="12"/>
  <c r="F17" i="4"/>
  <c r="A13" i="19"/>
  <c r="A13" i="18"/>
  <c r="A13" i="17"/>
  <c r="A13" i="16"/>
  <c r="A13" i="22"/>
  <c r="A13" i="21"/>
  <c r="A13" i="23"/>
  <c r="A15" i="19"/>
  <c r="A15" i="21"/>
  <c r="A15" i="18"/>
  <c r="A15" i="16"/>
  <c r="A15" i="17"/>
  <c r="A15" i="22" l="1"/>
  <c r="A15" i="23"/>
  <c r="A17" i="22"/>
  <c r="A17" i="20"/>
  <c r="A17" i="23"/>
  <c r="A17" i="19"/>
  <c r="A17" i="21"/>
  <c r="O15" i="9"/>
  <c r="N17" i="8"/>
  <c r="F17" i="8"/>
  <c r="I17" i="8"/>
  <c r="Q13" i="7"/>
  <c r="O15" i="6"/>
  <c r="J17" i="6"/>
  <c r="O15" i="5"/>
  <c r="Q13" i="5"/>
  <c r="O15" i="3"/>
  <c r="N17" i="4"/>
  <c r="M14" i="14"/>
  <c r="O9" i="18"/>
  <c r="K7" i="21"/>
  <c r="F17" i="6"/>
  <c r="N17" i="9"/>
  <c r="K7" i="16"/>
  <c r="M15" i="7"/>
  <c r="M15" i="4"/>
  <c r="M15" i="3"/>
  <c r="Q15" i="3" s="1"/>
  <c r="M15" i="9"/>
  <c r="Q15" i="9" s="1"/>
  <c r="M15" i="8"/>
  <c r="M15" i="6"/>
  <c r="M15" i="24"/>
  <c r="Q15" i="24" s="1"/>
  <c r="M15" i="5"/>
  <c r="K7" i="20"/>
  <c r="M17" i="5"/>
  <c r="J17" i="24"/>
  <c r="H17" i="9"/>
  <c r="Q15" i="4"/>
  <c r="M17" i="4"/>
  <c r="O11" i="18"/>
  <c r="O17" i="24"/>
  <c r="F17" i="3"/>
  <c r="O17" i="6"/>
  <c r="K7" i="15"/>
  <c r="O9" i="19"/>
  <c r="K7" i="18"/>
  <c r="K7" i="23"/>
  <c r="F17" i="2"/>
  <c r="H17" i="3"/>
  <c r="O17" i="3"/>
  <c r="N17" i="5"/>
  <c r="K17" i="24"/>
  <c r="Q15" i="7"/>
  <c r="Q15" i="8"/>
  <c r="O17" i="4"/>
  <c r="K7" i="19"/>
  <c r="O17" i="9"/>
  <c r="F17" i="24"/>
  <c r="O11" i="19"/>
  <c r="O17" i="2"/>
  <c r="H17" i="2"/>
  <c r="O17" i="7"/>
  <c r="N17" i="3"/>
  <c r="Q15" i="2"/>
  <c r="I17" i="5"/>
  <c r="K17" i="6"/>
  <c r="H17" i="7"/>
  <c r="M17" i="8"/>
  <c r="K17" i="9"/>
  <c r="I31" i="12"/>
  <c r="I11" i="20" s="1"/>
  <c r="C29" i="12"/>
  <c r="C11" i="18" s="1"/>
  <c r="H28" i="12"/>
  <c r="H11" i="17" s="1"/>
  <c r="E30" i="12"/>
  <c r="E11" i="19" s="1"/>
  <c r="H31" i="12"/>
  <c r="H11" i="20" s="1"/>
  <c r="H26" i="12"/>
  <c r="H11" i="15" s="1"/>
  <c r="I28" i="12"/>
  <c r="I11" i="17" s="1"/>
  <c r="C31" i="12"/>
  <c r="C11" i="20" s="1"/>
  <c r="C30" i="12"/>
  <c r="C11" i="19" s="1"/>
  <c r="E26" i="12"/>
  <c r="E11" i="15" s="1"/>
  <c r="I33" i="12"/>
  <c r="I11" i="22" s="1"/>
  <c r="F34" i="12"/>
  <c r="F11" i="23" s="1"/>
  <c r="A30" i="12"/>
  <c r="B30" i="12" s="1"/>
  <c r="H32" i="12"/>
  <c r="H11" i="21" s="1"/>
  <c r="F26" i="12"/>
  <c r="F11" i="15" s="1"/>
  <c r="C33" i="12"/>
  <c r="C11" i="22" s="1"/>
  <c r="C32" i="12"/>
  <c r="C11" i="21" s="1"/>
  <c r="F33" i="12"/>
  <c r="F11" i="22" s="1"/>
  <c r="F28" i="12"/>
  <c r="F11" i="17" s="1"/>
  <c r="C26" i="12"/>
  <c r="C11" i="15" s="1"/>
  <c r="D29" i="12"/>
  <c r="I27" i="12"/>
  <c r="I11" i="16" s="1"/>
  <c r="D28" i="12"/>
  <c r="D11" i="17" s="1"/>
  <c r="F27" i="12"/>
  <c r="F11" i="16" s="1"/>
  <c r="D32" i="12"/>
  <c r="D11" i="21" s="1"/>
  <c r="E29" i="12"/>
  <c r="E11" i="18" s="1"/>
  <c r="F30" i="12"/>
  <c r="F11" i="19" s="1"/>
  <c r="A26" i="12"/>
  <c r="B26" i="12" s="1"/>
  <c r="A33" i="12"/>
  <c r="B33" i="12" s="1"/>
  <c r="C3" i="22" s="1"/>
  <c r="D30" i="12"/>
  <c r="D11" i="19" s="1"/>
  <c r="I32" i="12"/>
  <c r="I11" i="21" s="1"/>
  <c r="C28" i="12"/>
  <c r="C11" i="17" s="1"/>
  <c r="C27" i="12"/>
  <c r="C11" i="16" s="1"/>
  <c r="H27" i="12"/>
  <c r="H11" i="16" s="1"/>
  <c r="A31" i="12"/>
  <c r="B31" i="12" s="1"/>
  <c r="D31" i="12"/>
  <c r="D11" i="20" s="1"/>
  <c r="E34" i="12"/>
  <c r="E11" i="23" s="1"/>
  <c r="E28" i="12"/>
  <c r="E11" i="17" s="1"/>
  <c r="I30" i="12"/>
  <c r="I11" i="19" s="1"/>
  <c r="E27" i="12"/>
  <c r="E11" i="16" s="1"/>
  <c r="D26" i="12"/>
  <c r="D11" i="15" s="1"/>
  <c r="H34" i="12"/>
  <c r="H11" i="23" s="1"/>
  <c r="E33" i="12"/>
  <c r="E11" i="22" s="1"/>
  <c r="A27" i="12"/>
  <c r="B27" i="12" s="1"/>
  <c r="A34" i="12"/>
  <c r="B34" i="12" s="1"/>
  <c r="I34" i="12"/>
  <c r="I11" i="23" s="1"/>
  <c r="I26" i="12"/>
  <c r="I11" i="15" s="1"/>
  <c r="E32" i="12"/>
  <c r="E11" i="21" s="1"/>
  <c r="F32" i="12"/>
  <c r="F11" i="21" s="1"/>
  <c r="D27" i="12"/>
  <c r="D11" i="16" s="1"/>
  <c r="A28" i="12"/>
  <c r="B28" i="12" s="1"/>
  <c r="F29" i="12"/>
  <c r="F11" i="18" s="1"/>
  <c r="H33" i="12"/>
  <c r="H11" i="22" s="1"/>
  <c r="C34" i="12"/>
  <c r="C11" i="23" s="1"/>
  <c r="A32" i="12"/>
  <c r="B32" i="12" s="1"/>
  <c r="E31" i="12"/>
  <c r="E11" i="20" s="1"/>
  <c r="F31" i="12"/>
  <c r="F11" i="20" s="1"/>
  <c r="H30" i="12"/>
  <c r="H11" i="19" s="1"/>
  <c r="H29" i="12"/>
  <c r="H11" i="18" s="1"/>
  <c r="D33" i="12"/>
  <c r="D11" i="22" s="1"/>
  <c r="A29" i="12"/>
  <c r="B29" i="12" s="1"/>
  <c r="D34" i="12"/>
  <c r="D11" i="23" s="1"/>
  <c r="I29" i="12"/>
  <c r="I11" i="18" s="1"/>
  <c r="A11" i="23"/>
  <c r="A11" i="17"/>
  <c r="A11" i="20"/>
  <c r="A11" i="18"/>
  <c r="A11" i="22"/>
  <c r="A11" i="16"/>
  <c r="A11" i="19"/>
  <c r="A17" i="17"/>
  <c r="A17" i="18"/>
  <c r="F17" i="9"/>
  <c r="G17" i="9"/>
  <c r="M17" i="9"/>
  <c r="Q13" i="9"/>
  <c r="L17" i="9"/>
  <c r="O15" i="8"/>
  <c r="K17" i="8"/>
  <c r="O17" i="8"/>
  <c r="O15" i="7"/>
  <c r="F17" i="7"/>
  <c r="Q13" i="6"/>
  <c r="Q15" i="6"/>
  <c r="Q13" i="24"/>
  <c r="O15" i="24"/>
  <c r="Q15" i="5"/>
  <c r="H17" i="5"/>
  <c r="E18" i="12"/>
  <c r="K13" i="12"/>
  <c r="K15" i="12"/>
  <c r="K10" i="12"/>
  <c r="O15" i="2"/>
  <c r="M17" i="2"/>
  <c r="Q13" i="2"/>
  <c r="D18" i="12"/>
  <c r="K16" i="12"/>
  <c r="K14" i="12"/>
  <c r="N16" i="12"/>
  <c r="K12" i="12"/>
  <c r="H18" i="12"/>
  <c r="N11" i="12"/>
  <c r="C9" i="20"/>
  <c r="K9" i="20" s="1"/>
  <c r="L9" i="20" s="1"/>
  <c r="M9" i="20" s="1"/>
  <c r="K9" i="16"/>
  <c r="L9" i="16" s="1"/>
  <c r="M9" i="16" s="1"/>
  <c r="K9" i="23"/>
  <c r="L9" i="23" s="1"/>
  <c r="M9" i="23" s="1"/>
  <c r="K9" i="17"/>
  <c r="L9" i="17" s="1"/>
  <c r="M9" i="17" s="1"/>
  <c r="K9" i="21"/>
  <c r="K9" i="12"/>
  <c r="N15" i="12"/>
  <c r="P9" i="21"/>
  <c r="P9" i="17"/>
  <c r="Q9" i="17" s="1"/>
  <c r="R9" i="17" s="1"/>
  <c r="K11" i="12"/>
  <c r="F18" i="12"/>
  <c r="N8" i="12"/>
  <c r="I18" i="12"/>
  <c r="D9" i="15"/>
  <c r="P9" i="15" s="1"/>
  <c r="E9" i="19"/>
  <c r="K9" i="19" s="1"/>
  <c r="L9" i="19" s="1"/>
  <c r="M9" i="19" s="1"/>
  <c r="C9" i="22"/>
  <c r="H9" i="18"/>
  <c r="D11" i="18"/>
  <c r="P9" i="16"/>
  <c r="Q9" i="16" s="1"/>
  <c r="R9" i="16" s="1"/>
  <c r="N13" i="12"/>
  <c r="K8" i="12"/>
  <c r="C18" i="12"/>
  <c r="M32" i="12"/>
  <c r="N14" i="12"/>
  <c r="M30" i="12"/>
  <c r="N12" i="12"/>
  <c r="G17" i="6"/>
  <c r="G17" i="4"/>
  <c r="L17" i="4"/>
  <c r="G17" i="7"/>
  <c r="O9" i="20"/>
  <c r="M10" i="12"/>
  <c r="G17" i="24"/>
  <c r="N17" i="24"/>
  <c r="N17" i="6"/>
  <c r="G17" i="8"/>
  <c r="M9" i="12"/>
  <c r="G17" i="2"/>
  <c r="G17" i="3"/>
  <c r="N17" i="7"/>
  <c r="L17" i="8"/>
  <c r="L17" i="7"/>
  <c r="H17" i="8"/>
  <c r="H17" i="24"/>
  <c r="G17" i="5"/>
  <c r="L17" i="6"/>
  <c r="K17" i="7"/>
  <c r="Q14" i="14"/>
  <c r="L17" i="2"/>
  <c r="L17" i="24"/>
  <c r="L17" i="3"/>
  <c r="H17" i="6"/>
  <c r="O11" i="16"/>
  <c r="O9" i="23"/>
  <c r="P9" i="23" s="1"/>
  <c r="Q9" i="23" s="1"/>
  <c r="R9" i="23" s="1"/>
  <c r="N17" i="2"/>
  <c r="F17" i="5"/>
  <c r="L17" i="5"/>
  <c r="O11" i="17"/>
  <c r="K30" i="12" l="1"/>
  <c r="K11" i="23"/>
  <c r="L11" i="23" s="1"/>
  <c r="M11" i="23" s="1"/>
  <c r="P11" i="23"/>
  <c r="Q11" i="23" s="1"/>
  <c r="R11" i="23" s="1"/>
  <c r="K29" i="12"/>
  <c r="N34" i="12"/>
  <c r="P11" i="17"/>
  <c r="Q11" i="17" s="1"/>
  <c r="R11" i="17" s="1"/>
  <c r="H36" i="12"/>
  <c r="K34" i="12"/>
  <c r="K11" i="17"/>
  <c r="L11" i="17" s="1"/>
  <c r="M11" i="17" s="1"/>
  <c r="K11" i="22"/>
  <c r="L11" i="22" s="1"/>
  <c r="M11" i="22" s="1"/>
  <c r="K11" i="20"/>
  <c r="L11" i="20" s="1"/>
  <c r="M11" i="20" s="1"/>
  <c r="N30" i="12"/>
  <c r="P11" i="21"/>
  <c r="Q11" i="21" s="1"/>
  <c r="R11" i="21" s="1"/>
  <c r="K11" i="19"/>
  <c r="L11" i="19" s="1"/>
  <c r="M11" i="19" s="1"/>
  <c r="Q9" i="15"/>
  <c r="R9" i="15" s="1"/>
  <c r="Q9" i="21"/>
  <c r="R9" i="21" s="1"/>
  <c r="M17" i="6"/>
  <c r="M17" i="24"/>
  <c r="M17" i="7"/>
  <c r="M17" i="3"/>
  <c r="L9" i="21"/>
  <c r="M9" i="21" s="1"/>
  <c r="P9" i="18"/>
  <c r="Q9" i="18" s="1"/>
  <c r="R9" i="18" s="1"/>
  <c r="F36" i="12"/>
  <c r="E36" i="12"/>
  <c r="P11" i="22"/>
  <c r="Q11" i="22" s="1"/>
  <c r="R11" i="22" s="1"/>
  <c r="N33" i="12"/>
  <c r="N31" i="12"/>
  <c r="C36" i="12"/>
  <c r="N26" i="12"/>
  <c r="N29" i="12"/>
  <c r="D36" i="12"/>
  <c r="P11" i="15"/>
  <c r="Q11" i="15" s="1"/>
  <c r="R11" i="15" s="1"/>
  <c r="K11" i="16"/>
  <c r="L11" i="16" s="1"/>
  <c r="M11" i="16" s="1"/>
  <c r="K28" i="12"/>
  <c r="I36" i="12"/>
  <c r="K26" i="12"/>
  <c r="K11" i="15" s="1"/>
  <c r="L11" i="15" s="1"/>
  <c r="M11" i="15" s="1"/>
  <c r="K31" i="12"/>
  <c r="K33" i="12"/>
  <c r="N32" i="12"/>
  <c r="K32" i="12"/>
  <c r="K27" i="12"/>
  <c r="P11" i="16"/>
  <c r="Q11" i="16" s="1"/>
  <c r="R11" i="16" s="1"/>
  <c r="P9" i="20"/>
  <c r="Q9" i="20" s="1"/>
  <c r="R9" i="20" s="1"/>
  <c r="P11" i="18"/>
  <c r="Q11" i="18" s="1"/>
  <c r="R11" i="18" s="1"/>
  <c r="P9" i="19"/>
  <c r="Q9" i="19" s="1"/>
  <c r="R9" i="19" s="1"/>
  <c r="P11" i="20"/>
  <c r="Q11" i="20" s="1"/>
  <c r="R11" i="20" s="1"/>
  <c r="K11" i="21"/>
  <c r="L11" i="21" s="1"/>
  <c r="M11" i="21" s="1"/>
  <c r="K11" i="18"/>
  <c r="L11" i="18" s="1"/>
  <c r="M11" i="18" s="1"/>
  <c r="P11" i="19"/>
  <c r="Q11" i="19" s="1"/>
  <c r="R11" i="19" s="1"/>
  <c r="K18" i="12"/>
  <c r="K9" i="15"/>
  <c r="L9" i="15" s="1"/>
  <c r="M9" i="15" s="1"/>
  <c r="K9" i="18"/>
  <c r="L9" i="18" s="1"/>
  <c r="M9" i="18" s="1"/>
  <c r="K9" i="22"/>
  <c r="L9" i="22" s="1"/>
  <c r="M9" i="22" s="1"/>
  <c r="P9" i="22"/>
  <c r="Q9" i="22" s="1"/>
  <c r="R9" i="22" s="1"/>
  <c r="M27" i="12"/>
  <c r="N9" i="12"/>
  <c r="Q17" i="6"/>
  <c r="Q17" i="9"/>
  <c r="Q17" i="4"/>
  <c r="Q17" i="7"/>
  <c r="Q17" i="24"/>
  <c r="Q17" i="2"/>
  <c r="Q17" i="3"/>
  <c r="Q17" i="8"/>
  <c r="Q17" i="5"/>
  <c r="M28" i="12"/>
  <c r="N28" i="12" s="1"/>
  <c r="N10" i="12"/>
  <c r="M18" i="12"/>
  <c r="K36" i="12" l="1"/>
  <c r="O16" i="7"/>
  <c r="O16" i="3"/>
  <c r="O16" i="5"/>
  <c r="O16" i="24"/>
  <c r="O16" i="8"/>
  <c r="O16" i="9"/>
  <c r="O16" i="4"/>
  <c r="O16" i="6"/>
  <c r="O16" i="2"/>
  <c r="N18" i="12"/>
  <c r="N27" i="12"/>
  <c r="N36" i="12" s="1"/>
  <c r="M36" i="12"/>
</calcChain>
</file>

<file path=xl/sharedStrings.xml><?xml version="1.0" encoding="utf-8"?>
<sst xmlns="http://schemas.openxmlformats.org/spreadsheetml/2006/main" count="285" uniqueCount="86">
  <si>
    <t>Obs</t>
  </si>
  <si>
    <t>_TYPE_</t>
  </si>
  <si>
    <t>_FREQ_</t>
  </si>
  <si>
    <t>L441_b</t>
  </si>
  <si>
    <t>L446_b</t>
  </si>
  <si>
    <t>L452_b</t>
  </si>
  <si>
    <t>L455_b</t>
  </si>
  <si>
    <t>L458_b</t>
  </si>
  <si>
    <t>L466_b</t>
  </si>
  <si>
    <t>L474_b</t>
  </si>
  <si>
    <t>L515_B</t>
  </si>
  <si>
    <t>L306_B</t>
  </si>
  <si>
    <t>L450_b</t>
  </si>
  <si>
    <t>AEA</t>
  </si>
  <si>
    <t>AEA_Name</t>
  </si>
  <si>
    <t>NORTHWEST AEA</t>
  </si>
  <si>
    <t>Special Education Support</t>
  </si>
  <si>
    <t>Special Education Support Adj.</t>
  </si>
  <si>
    <t>Media Services</t>
  </si>
  <si>
    <t>Ed. Services</t>
  </si>
  <si>
    <t>Sharing</t>
  </si>
  <si>
    <t>Professional Development Supp.</t>
  </si>
  <si>
    <t>Teacher Salary Supp.</t>
  </si>
  <si>
    <t>State Aid Reduction To AEAs</t>
  </si>
  <si>
    <t>Total School Aid Funding</t>
  </si>
  <si>
    <t>Total AEAs</t>
  </si>
  <si>
    <t>Select Rate Here===&gt;</t>
  </si>
  <si>
    <t>Comparison:</t>
  </si>
  <si>
    <t>SSA Rate</t>
  </si>
  <si>
    <t>Sources:</t>
  </si>
  <si>
    <t>Back to Main Tab</t>
  </si>
  <si>
    <t>Click on specific AEA links to additional information on individual AEAs.</t>
  </si>
  <si>
    <t>State Aid Reduction Maintained at Prev. Year Level</t>
  </si>
  <si>
    <t>Base Year Data</t>
  </si>
  <si>
    <t>Assumed State Aid Reduction</t>
  </si>
  <si>
    <t>Use the most current school aid program and then run this language:</t>
  </si>
  <si>
    <t>proc sort; by aea;</t>
  </si>
  <si>
    <t>run;</t>
  </si>
  <si>
    <t>proc summary; var l441_b l446_b l452_b l455_b l458_b l466_b l474_b l515_b l306_b l450_b; by aea;</t>
  </si>
  <si>
    <t>output out=aea_pull1 sum=;</t>
  </si>
  <si>
    <t>proc print data=aea_pull1;</t>
  </si>
  <si>
    <t>*****BAse Year data Pull;</t>
  </si>
  <si>
    <t>proc summary; var l441_a l446_a l452_a l455_a l458_a l466_a l474_a l515_a l306_a l450_a; by aea;</t>
  </si>
  <si>
    <t>l441_a</t>
  </si>
  <si>
    <t>L446_A</t>
  </si>
  <si>
    <t>L452_a</t>
  </si>
  <si>
    <t>L455_a</t>
  </si>
  <si>
    <t>L458_a</t>
  </si>
  <si>
    <t>L466_a</t>
  </si>
  <si>
    <t>L474_a</t>
  </si>
  <si>
    <t>L515_a</t>
  </si>
  <si>
    <t>L306_a</t>
  </si>
  <si>
    <t>L450_A</t>
  </si>
  <si>
    <t>output out=aea_pull_base sum=;</t>
  </si>
  <si>
    <t>proc print data=aea_pull_base;</t>
  </si>
  <si>
    <t>KEYSTONE AEA</t>
  </si>
  <si>
    <t>PRAIRIE LAKES AEA</t>
  </si>
  <si>
    <t>Central Rivers AEA</t>
  </si>
  <si>
    <t>MISSISSIPPI BEND AEA</t>
  </si>
  <si>
    <t>GRANT WOOD AEA</t>
  </si>
  <si>
    <t>HEARTLAND AEA</t>
  </si>
  <si>
    <t>GREEN HILLS AEA</t>
  </si>
  <si>
    <t>GREAT PRAIRIE AEA</t>
  </si>
  <si>
    <t>Change from Prior Year</t>
  </si>
  <si>
    <t>Sharing*</t>
  </si>
  <si>
    <t>*Estimates are preliminary and subject to change.</t>
  </si>
  <si>
    <t>data aea_pull_fy24;</t>
  </si>
  <si>
    <t>set fy24a;</t>
  </si>
  <si>
    <t>Matching Prior FY Reduction Amount</t>
  </si>
  <si>
    <t>Last Updated 1/11/2024</t>
  </si>
  <si>
    <t>version 2.2</t>
  </si>
  <si>
    <t>data aea_pull_fy25;</t>
  </si>
  <si>
    <t>set fy25a;</t>
  </si>
  <si>
    <t>Pulled 1/11/2024</t>
  </si>
  <si>
    <t>Updated 1/11/2024</t>
  </si>
  <si>
    <t>FY 2025 Amounts By AEA at Selected SSA Rate</t>
  </si>
  <si>
    <t>IASB:  Estimated FY 2025 Supplemental State Aid Funding to Area Education Agencies</t>
  </si>
  <si>
    <t>Copyright 2024 - Iowa Association of School Boards</t>
  </si>
  <si>
    <t>Iowa Department of Management, School Aid file and IASB estimates (based on IASB_Schlaid_FY24_FY29_2.2.sas).</t>
  </si>
  <si>
    <t>IASB estimates as of January 11, 2024, and are subject to change.</t>
  </si>
  <si>
    <t>Iowa Association of School Boards:  Supplemental State Aid Funding for Area Education Agencies FY 2024 and Estimated FY 2025</t>
  </si>
  <si>
    <t>Change Compared to FY 2024</t>
  </si>
  <si>
    <t>% Change Compared to FY 2024</t>
  </si>
  <si>
    <t>If State Aid Reduction = Prior Fiscal Year Amount</t>
  </si>
  <si>
    <t>FY 2024</t>
  </si>
  <si>
    <t>Est. 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</si>
</sst>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1C1C1"/>
      </top>
      <bottom/>
      <diagonal/>
    </border>
    <border>
      <left style="medium">
        <color rgb="FF4F493B"/>
      </left>
      <right/>
      <top style="medium">
        <color rgb="FF4F493B"/>
      </top>
      <bottom/>
      <diagonal/>
    </border>
    <border>
      <left/>
      <right/>
      <top style="medium">
        <color rgb="FF4F493B"/>
      </top>
      <bottom/>
      <diagonal/>
    </border>
    <border>
      <left style="medium">
        <color rgb="FF4F493B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164" fontId="1" fillId="0" borderId="0" xfId="2" applyNumberFormat="1" applyFont="1"/>
    <xf numFmtId="165" fontId="1" fillId="0" borderId="0" xfId="4" applyNumberFormat="1" applyFont="1"/>
    <xf numFmtId="10" fontId="1" fillId="0" borderId="0" xfId="4" applyNumberFormat="1" applyFont="1"/>
    <xf numFmtId="0" fontId="3" fillId="0" borderId="0" xfId="0" applyFont="1"/>
    <xf numFmtId="10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2" applyNumberFormat="1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right"/>
    </xf>
    <xf numFmtId="0" fontId="0" fillId="2" borderId="0" xfId="0" applyFill="1"/>
    <xf numFmtId="0" fontId="0" fillId="0" borderId="0" xfId="0" applyAlignment="1">
      <alignment horizontal="left"/>
    </xf>
    <xf numFmtId="164" fontId="1" fillId="2" borderId="0" xfId="2" applyNumberFormat="1" applyFont="1" applyFill="1"/>
    <xf numFmtId="0" fontId="6" fillId="0" borderId="0" xfId="0" applyFont="1" applyAlignment="1">
      <alignment horizontal="center" vertical="top" wrapText="1"/>
    </xf>
    <xf numFmtId="10" fontId="3" fillId="3" borderId="0" xfId="0" applyNumberFormat="1" applyFont="1" applyFill="1"/>
    <xf numFmtId="0" fontId="3" fillId="2" borderId="0" xfId="0" applyFont="1" applyFill="1" applyAlignment="1">
      <alignment horizontal="center" wrapText="1"/>
    </xf>
    <xf numFmtId="165" fontId="1" fillId="2" borderId="0" xfId="4" applyNumberFormat="1" applyFont="1" applyFill="1"/>
    <xf numFmtId="164" fontId="3" fillId="2" borderId="0" xfId="2" applyNumberFormat="1" applyFont="1" applyFill="1"/>
    <xf numFmtId="164" fontId="3" fillId="2" borderId="0" xfId="0" applyNumberFormat="1" applyFont="1" applyFill="1"/>
    <xf numFmtId="165" fontId="3" fillId="2" borderId="0" xfId="4" applyNumberFormat="1" applyFont="1" applyFill="1"/>
    <xf numFmtId="0" fontId="9" fillId="0" borderId="0" xfId="0" applyFont="1" applyAlignment="1">
      <alignment horizontal="left"/>
    </xf>
    <xf numFmtId="0" fontId="2" fillId="0" borderId="0" xfId="3" applyAlignment="1">
      <alignment horizontal="center"/>
    </xf>
    <xf numFmtId="0" fontId="2" fillId="2" borderId="0" xfId="3" applyFill="1" applyAlignment="1">
      <alignment horizontal="center"/>
    </xf>
    <xf numFmtId="10" fontId="8" fillId="3" borderId="1" xfId="4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1" fillId="0" borderId="2" xfId="2" applyNumberFormat="1" applyFont="1" applyBorder="1"/>
    <xf numFmtId="164" fontId="1" fillId="0" borderId="3" xfId="2" applyNumberFormat="1" applyFont="1" applyBorder="1"/>
    <xf numFmtId="164" fontId="1" fillId="2" borderId="2" xfId="2" applyNumberFormat="1" applyFont="1" applyFill="1" applyBorder="1"/>
    <xf numFmtId="164" fontId="1" fillId="2" borderId="3" xfId="2" applyNumberFormat="1" applyFont="1" applyFill="1" applyBorder="1"/>
    <xf numFmtId="164" fontId="3" fillId="0" borderId="4" xfId="2" applyNumberFormat="1" applyFont="1" applyBorder="1"/>
    <xf numFmtId="164" fontId="3" fillId="0" borderId="5" xfId="2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66" fontId="1" fillId="0" borderId="0" xfId="1" applyNumberFormat="1" applyFont="1"/>
    <xf numFmtId="0" fontId="4" fillId="3" borderId="0" xfId="0" applyFont="1" applyFill="1"/>
    <xf numFmtId="0" fontId="3" fillId="4" borderId="0" xfId="0" applyFont="1" applyFill="1" applyAlignment="1">
      <alignment horizontal="center" wrapText="1"/>
    </xf>
    <xf numFmtId="0" fontId="0" fillId="4" borderId="0" xfId="0" applyFill="1"/>
    <xf numFmtId="165" fontId="3" fillId="4" borderId="0" xfId="4" applyNumberFormat="1" applyFont="1" applyFill="1"/>
    <xf numFmtId="165" fontId="1" fillId="4" borderId="0" xfId="4" applyNumberFormat="1" applyFont="1" applyFill="1"/>
    <xf numFmtId="164" fontId="3" fillId="4" borderId="0" xfId="0" applyNumberFormat="1" applyFont="1" applyFill="1"/>
    <xf numFmtId="0" fontId="3" fillId="4" borderId="0" xfId="0" applyFont="1" applyFill="1"/>
    <xf numFmtId="0" fontId="11" fillId="0" borderId="0" xfId="0" applyFont="1"/>
    <xf numFmtId="0" fontId="12" fillId="0" borderId="0" xfId="0" applyFont="1"/>
    <xf numFmtId="164" fontId="11" fillId="0" borderId="0" xfId="2" applyNumberFormat="1" applyFont="1"/>
    <xf numFmtId="0" fontId="0" fillId="0" borderId="0" xfId="0" applyAlignment="1">
      <alignment horizontal="right"/>
    </xf>
    <xf numFmtId="0" fontId="13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2" fillId="0" borderId="0" xfId="3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1</xdr:row>
      <xdr:rowOff>95250</xdr:rowOff>
    </xdr:from>
    <xdr:to>
      <xdr:col>10</xdr:col>
      <xdr:colOff>419100</xdr:colOff>
      <xdr:row>5</xdr:row>
      <xdr:rowOff>76200</xdr:rowOff>
    </xdr:to>
    <xdr:pic>
      <xdr:nvPicPr>
        <xdr:cNvPr id="1045" name="Picture 2" descr="Combined_Digital.jpg">
          <a:extLst>
            <a:ext uri="{FF2B5EF4-FFF2-40B4-BE49-F238E27FC236}">
              <a16:creationId xmlns:a16="http://schemas.microsoft.com/office/drawing/2014/main" id="{0839833B-4525-3616-9AC2-B00A870F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361950"/>
          <a:ext cx="1009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114300</xdr:rowOff>
    </xdr:from>
    <xdr:to>
      <xdr:col>1</xdr:col>
      <xdr:colOff>409575</xdr:colOff>
      <xdr:row>4</xdr:row>
      <xdr:rowOff>76200</xdr:rowOff>
    </xdr:to>
    <xdr:pic>
      <xdr:nvPicPr>
        <xdr:cNvPr id="10258" name="Picture 2" descr="Combined_Digital.jpg">
          <a:extLst>
            <a:ext uri="{FF2B5EF4-FFF2-40B4-BE49-F238E27FC236}">
              <a16:creationId xmlns:a16="http://schemas.microsoft.com/office/drawing/2014/main" id="{5135A696-004D-C549-5589-F0D53271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114300</xdr:rowOff>
    </xdr:from>
    <xdr:to>
      <xdr:col>1</xdr:col>
      <xdr:colOff>447675</xdr:colOff>
      <xdr:row>4</xdr:row>
      <xdr:rowOff>114300</xdr:rowOff>
    </xdr:to>
    <xdr:pic>
      <xdr:nvPicPr>
        <xdr:cNvPr id="2066" name="Picture 3" descr="Combined_Digital.jpg">
          <a:extLst>
            <a:ext uri="{FF2B5EF4-FFF2-40B4-BE49-F238E27FC236}">
              <a16:creationId xmlns:a16="http://schemas.microsoft.com/office/drawing/2014/main" id="{C899CECC-F8FA-C60F-DE41-E0F977FC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1</xdr:col>
      <xdr:colOff>361950</xdr:colOff>
      <xdr:row>4</xdr:row>
      <xdr:rowOff>114300</xdr:rowOff>
    </xdr:to>
    <xdr:pic>
      <xdr:nvPicPr>
        <xdr:cNvPr id="3090" name="Picture 2" descr="Combined_Digital.jpg">
          <a:extLst>
            <a:ext uri="{FF2B5EF4-FFF2-40B4-BE49-F238E27FC236}">
              <a16:creationId xmlns:a16="http://schemas.microsoft.com/office/drawing/2014/main" id="{51193324-6B99-5339-39AE-6585B1A2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1019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28575</xdr:rowOff>
    </xdr:from>
    <xdr:to>
      <xdr:col>1</xdr:col>
      <xdr:colOff>438150</xdr:colOff>
      <xdr:row>4</xdr:row>
      <xdr:rowOff>266700</xdr:rowOff>
    </xdr:to>
    <xdr:pic>
      <xdr:nvPicPr>
        <xdr:cNvPr id="4114" name="Picture 2" descr="Combined_Digital.jpg">
          <a:extLst>
            <a:ext uri="{FF2B5EF4-FFF2-40B4-BE49-F238E27FC236}">
              <a16:creationId xmlns:a16="http://schemas.microsoft.com/office/drawing/2014/main" id="{47696F96-B96F-B271-B94D-63ECCB66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28600"/>
          <a:ext cx="10096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57150</xdr:rowOff>
    </xdr:from>
    <xdr:to>
      <xdr:col>1</xdr:col>
      <xdr:colOff>466725</xdr:colOff>
      <xdr:row>4</xdr:row>
      <xdr:rowOff>295275</xdr:rowOff>
    </xdr:to>
    <xdr:pic>
      <xdr:nvPicPr>
        <xdr:cNvPr id="5138" name="Picture 2" descr="Combined_Digital.jpg">
          <a:extLst>
            <a:ext uri="{FF2B5EF4-FFF2-40B4-BE49-F238E27FC236}">
              <a16:creationId xmlns:a16="http://schemas.microsoft.com/office/drawing/2014/main" id="{4CEFAA85-282B-842E-1401-AE3D4FB2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57175"/>
          <a:ext cx="10096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85725</xdr:rowOff>
    </xdr:from>
    <xdr:to>
      <xdr:col>1</xdr:col>
      <xdr:colOff>171450</xdr:colOff>
      <xdr:row>4</xdr:row>
      <xdr:rowOff>104775</xdr:rowOff>
    </xdr:to>
    <xdr:pic>
      <xdr:nvPicPr>
        <xdr:cNvPr id="6162" name="Picture 2" descr="Combined_Digital.jpg">
          <a:extLst>
            <a:ext uri="{FF2B5EF4-FFF2-40B4-BE49-F238E27FC236}">
              <a16:creationId xmlns:a16="http://schemas.microsoft.com/office/drawing/2014/main" id="{75142CCC-4848-3803-2589-AF663666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"/>
          <a:ext cx="733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57150</xdr:rowOff>
    </xdr:from>
    <xdr:to>
      <xdr:col>1</xdr:col>
      <xdr:colOff>219075</xdr:colOff>
      <xdr:row>4</xdr:row>
      <xdr:rowOff>114300</xdr:rowOff>
    </xdr:to>
    <xdr:pic>
      <xdr:nvPicPr>
        <xdr:cNvPr id="7186" name="Picture 2" descr="Combined_Digital.jpg">
          <a:extLst>
            <a:ext uri="{FF2B5EF4-FFF2-40B4-BE49-F238E27FC236}">
              <a16:creationId xmlns:a16="http://schemas.microsoft.com/office/drawing/2014/main" id="{9BF0DCCA-C284-F716-1286-B5A4997F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57175"/>
          <a:ext cx="771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66675</xdr:rowOff>
    </xdr:from>
    <xdr:to>
      <xdr:col>1</xdr:col>
      <xdr:colOff>314325</xdr:colOff>
      <xdr:row>4</xdr:row>
      <xdr:rowOff>190500</xdr:rowOff>
    </xdr:to>
    <xdr:pic>
      <xdr:nvPicPr>
        <xdr:cNvPr id="8210" name="Picture 2" descr="Combined_Digital.jpg">
          <a:extLst>
            <a:ext uri="{FF2B5EF4-FFF2-40B4-BE49-F238E27FC236}">
              <a16:creationId xmlns:a16="http://schemas.microsoft.com/office/drawing/2014/main" id="{605BA315-E961-C507-E4FC-35B6EFE0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6700"/>
          <a:ext cx="857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133350</xdr:rowOff>
    </xdr:from>
    <xdr:to>
      <xdr:col>1</xdr:col>
      <xdr:colOff>447675</xdr:colOff>
      <xdr:row>4</xdr:row>
      <xdr:rowOff>171450</xdr:rowOff>
    </xdr:to>
    <xdr:pic>
      <xdr:nvPicPr>
        <xdr:cNvPr id="9234" name="Picture 2" descr="Combined_Digital.jpg">
          <a:extLst>
            <a:ext uri="{FF2B5EF4-FFF2-40B4-BE49-F238E27FC236}">
              <a16:creationId xmlns:a16="http://schemas.microsoft.com/office/drawing/2014/main" id="{0017A167-00D9-2F66-8115-7FCA06FD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0096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topLeftCell="B1" workbookViewId="0">
      <selection activeCell="F7" sqref="F7"/>
    </sheetView>
  </sheetViews>
  <sheetFormatPr defaultRowHeight="14.4" x14ac:dyDescent="0.3"/>
  <cols>
    <col min="1" max="1" width="7.5546875" hidden="1" customWidth="1"/>
    <col min="2" max="2" width="21.33203125" customWidth="1"/>
    <col min="3" max="3" width="13.5546875" bestFit="1" customWidth="1"/>
    <col min="4" max="4" width="11.44140625" bestFit="1" customWidth="1"/>
    <col min="5" max="6" width="14.6640625" bestFit="1" customWidth="1"/>
    <col min="7" max="7" width="11.109375" bestFit="1" customWidth="1"/>
    <col min="8" max="8" width="12.44140625" bestFit="1" customWidth="1"/>
    <col min="9" max="9" width="15.5546875" customWidth="1"/>
    <col min="10" max="10" width="15.44140625" customWidth="1"/>
    <col min="11" max="11" width="13.5546875" bestFit="1" customWidth="1"/>
    <col min="12" max="12" width="2" customWidth="1"/>
    <col min="13" max="13" width="17.5546875" customWidth="1"/>
    <col min="14" max="14" width="14.5546875" customWidth="1"/>
    <col min="15" max="15" width="8.88671875" customWidth="1"/>
    <col min="16" max="16" width="6" hidden="1" customWidth="1"/>
    <col min="17" max="17" width="5" hidden="1" customWidth="1"/>
    <col min="18" max="19" width="8.88671875" customWidth="1"/>
  </cols>
  <sheetData>
    <row r="1" spans="1:17" ht="21" x14ac:dyDescent="0.4">
      <c r="B1" s="59" t="s">
        <v>76</v>
      </c>
      <c r="C1" s="59"/>
      <c r="D1" s="59"/>
      <c r="E1" s="59"/>
      <c r="F1" s="59"/>
      <c r="G1" s="59"/>
      <c r="H1" s="59"/>
      <c r="I1" s="59"/>
      <c r="J1" s="59"/>
      <c r="K1" s="59"/>
    </row>
    <row r="3" spans="1:17" x14ac:dyDescent="0.3">
      <c r="B3" t="s">
        <v>31</v>
      </c>
    </row>
    <row r="4" spans="1:17" ht="15" thickBot="1" x14ac:dyDescent="0.35"/>
    <row r="5" spans="1:17" ht="18.600000000000001" thickBot="1" x14ac:dyDescent="0.4">
      <c r="B5" s="14" t="s">
        <v>26</v>
      </c>
      <c r="C5" s="28">
        <v>2.5000000000000001E-2</v>
      </c>
      <c r="D5" s="12" t="s">
        <v>75</v>
      </c>
      <c r="M5" s="60" t="s">
        <v>68</v>
      </c>
      <c r="N5" s="61"/>
    </row>
    <row r="6" spans="1:17" ht="7.95" customHeight="1" x14ac:dyDescent="0.3">
      <c r="M6" s="31"/>
      <c r="N6" s="32"/>
    </row>
    <row r="7" spans="1:17" s="8" customFormat="1" ht="57" customHeight="1" x14ac:dyDescent="0.3">
      <c r="B7" s="8" t="s">
        <v>13</v>
      </c>
      <c r="C7" s="8" t="s">
        <v>16</v>
      </c>
      <c r="D7" s="8" t="s">
        <v>17</v>
      </c>
      <c r="E7" s="8" t="s">
        <v>18</v>
      </c>
      <c r="F7" s="8" t="s">
        <v>19</v>
      </c>
      <c r="G7" s="8" t="s">
        <v>64</v>
      </c>
      <c r="H7" s="8" t="s">
        <v>22</v>
      </c>
      <c r="I7" s="8" t="s">
        <v>21</v>
      </c>
      <c r="J7" s="8" t="s">
        <v>23</v>
      </c>
      <c r="K7" s="8" t="s">
        <v>24</v>
      </c>
      <c r="M7" s="33" t="s">
        <v>32</v>
      </c>
      <c r="N7" s="34" t="s">
        <v>24</v>
      </c>
    </row>
    <row r="8" spans="1:17" x14ac:dyDescent="0.3">
      <c r="A8" s="47">
        <f>CHOOSE($Q$19,FYXX_0!C3,FYXX_.05!C3,FYXX_1!C3,FYXX_1.5!C3,FYXX_2.0!C3,FYXX_2.5!C3,FYXX_3!C3,FYXX_3.5!C3,FYXX_4!C3,#REF!)</f>
        <v>1</v>
      </c>
      <c r="B8" s="26" t="str">
        <f>VLOOKUP(A8,AEA_Names!$A$4:$B$12,2,FALSE)</f>
        <v>KEYSTONE AEA</v>
      </c>
      <c r="C8" s="3">
        <f>CHOOSE($Q$19,FYXX_0!F3,FYXX_.05!F3,FYXX_1!F3,FYXX_1.5!F3,FYXX_2.0!F3,FYXX_2.5!F3,FYXX_3!F3,FYXX_3.5!F3,FYXX_4!F3,#REF!,#REF!)</f>
        <v>11478707</v>
      </c>
      <c r="D8" s="3">
        <f>CHOOSE($Q$19,FYXX_0!G3,FYXX_.05!G3,FYXX_1!G3,FYXX_1.5!G3,FYXX_2.0!G3,FYXX_2.5!G3,FYXX_3!G3,FYXX_3.5!G3,FYXX_4!G3,#REF!,#REF!)</f>
        <v>14190</v>
      </c>
      <c r="E8" s="3">
        <f>CHOOSE($Q$19,FYXX_0!H3,FYXX_.05!H3,FYXX_1!H3,FYXX_1.5!H3,FYXX_2.0!H3,FYXX_2.5!H3,FYXX_3!H3,FYXX_3.5!H3,FYXX_4!H3,#REF!,#REF!)</f>
        <v>2019332</v>
      </c>
      <c r="F8" s="3">
        <f>CHOOSE($Q$19,FYXX_0!I3,FYXX_.05!I3,FYXX_1!I3,FYXX_1.5!I3,FYXX_2.0!I3,FYXX_2.5!I3,FYXX_3!I3,FYXX_3.5!I3,FYXX_4!I3,#REF!,#REF!)</f>
        <v>2249384</v>
      </c>
      <c r="G8" s="3">
        <v>30000</v>
      </c>
      <c r="H8" s="3">
        <f>CHOOSE($Q$19,FYXX_0!K3,FYXX_.05!K3,FYXX_1!K3,FYXX_1.5!K3,FYXX_2.0!K3,FYXX_2.5!K3,FYXX_3!K3,FYXX_3.5!K3,FYXX_4!K3,#REF!,#REF!)</f>
        <v>1138765</v>
      </c>
      <c r="I8" s="3">
        <f>CHOOSE($Q$19,FYXX_0!L3,FYXX_.05!L3,FYXX_1!L3,FYXX_1.5!L3,FYXX_2.0!L3,FYXX_2.5!L3,FYXX_3!L3,FYXX_3.5!L3,FYXX_4!L3,#REF!,#REF!)</f>
        <v>123768</v>
      </c>
      <c r="J8" s="3">
        <v>-537076</v>
      </c>
      <c r="K8" s="3">
        <f>SUM(C8:J8)</f>
        <v>16517070</v>
      </c>
      <c r="M8" s="35">
        <f>Keystone!J7</f>
        <v>-2094923</v>
      </c>
      <c r="N8" s="36">
        <f>C8+D8+E8+F8+G8+H8+I8+M8</f>
        <v>14959223</v>
      </c>
      <c r="P8" s="5">
        <v>0</v>
      </c>
      <c r="Q8">
        <v>1</v>
      </c>
    </row>
    <row r="9" spans="1:17" x14ac:dyDescent="0.3">
      <c r="A9" s="47">
        <f>CHOOSE($Q$19,FYXX_0!C4,FYXX_.05!C4,FYXX_1!C4,FYXX_1.5!C4,FYXX_2.0!C4,FYXX_2.5!C4,FYXX_3!C4,FYXX_3.5!C4,FYXX_4!C4,#REF!)</f>
        <v>5</v>
      </c>
      <c r="B9" s="26" t="str">
        <f>VLOOKUP(A9,AEA_Names!$A$4:$B$12,2,FALSE)</f>
        <v>PRAIRIE LAKES AEA</v>
      </c>
      <c r="C9" s="3">
        <f>CHOOSE($Q$19,FYXX_0!F4,FYXX_.05!F4,FYXX_1!F4,FYXX_1.5!F4,FYXX_2.0!F4,FYXX_2.5!F4,FYXX_3!F4,FYXX_3.5!F4,FYXX_4!F4,#REF!,#REF!)</f>
        <v>11857256</v>
      </c>
      <c r="D9" s="3">
        <f>CHOOSE($Q$19,FYXX_0!G4,FYXX_.05!G4,FYXX_1!G4,FYXX_1.5!G4,FYXX_2.0!G4,FYXX_2.5!G4,FYXX_3!G4,FYXX_3.5!G4,FYXX_4!G4,#REF!,#REF!)</f>
        <v>136522</v>
      </c>
      <c r="E9" s="3">
        <f>CHOOSE($Q$19,FYXX_0!H4,FYXX_.05!H4,FYXX_1!H4,FYXX_1.5!H4,FYXX_2.0!H4,FYXX_2.5!H4,FYXX_3!H4,FYXX_3.5!H4,FYXX_4!H4,#REF!,#REF!)</f>
        <v>2041846</v>
      </c>
      <c r="F9" s="3">
        <f>CHOOSE($Q$19,FYXX_0!I4,FYXX_.05!I4,FYXX_1!I4,FYXX_1.5!I4,FYXX_2.0!I4,FYXX_2.5!I4,FYXX_3!I4,FYXX_3.5!I4,FYXX_4!I4,#REF!,#REF!)</f>
        <v>2286608</v>
      </c>
      <c r="G9" s="3">
        <v>0</v>
      </c>
      <c r="H9" s="3">
        <f>CHOOSE($Q$19,FYXX_0!K4,FYXX_.05!K4,FYXX_1!K4,FYXX_1.5!K4,FYXX_2.0!K4,FYXX_2.5!K4,FYXX_3!K4,FYXX_3.5!K4,FYXX_4!K4,#REF!,#REF!)</f>
        <v>1264476</v>
      </c>
      <c r="I9" s="3">
        <f>CHOOSE($Q$19,FYXX_0!L4,FYXX_.05!L4,FYXX_1!L4,FYXX_1.5!L4,FYXX_2.0!L4,FYXX_2.5!L4,FYXX_3!L4,FYXX_3.5!L4,FYXX_4!L4,#REF!,#REF!)</f>
        <v>150245</v>
      </c>
      <c r="J9" s="3">
        <v>-572744</v>
      </c>
      <c r="K9" s="3">
        <f t="shared" ref="K9:K16" si="0">SUM(C9:J9)</f>
        <v>17164209</v>
      </c>
      <c r="M9" s="35">
        <f>PrairieLakes!J7</f>
        <v>-2227501</v>
      </c>
      <c r="N9" s="36">
        <f t="shared" ref="N9:N16" si="1">C9+D9+E9+F9+G9+H9+I9+M9</f>
        <v>15509452</v>
      </c>
      <c r="P9" s="5">
        <v>5.0000000000000001E-3</v>
      </c>
      <c r="Q9">
        <v>2</v>
      </c>
    </row>
    <row r="10" spans="1:17" x14ac:dyDescent="0.3">
      <c r="A10" s="47">
        <f>CHOOSE($Q$19,FYXX_0!C5,FYXX_.05!C5,FYXX_1!C5,FYXX_1.5!C5,FYXX_2.0!C5,FYXX_2.5!C5,FYXX_3!C5,FYXX_3.5!C5,FYXX_4!C5,#REF!)</f>
        <v>7</v>
      </c>
      <c r="B10" s="27" t="str">
        <f>VLOOKUP(A10,AEA_Names!$A$4:$B$12,2,FALSE)</f>
        <v>Central Rivers AEA</v>
      </c>
      <c r="C10" s="17">
        <f>CHOOSE($Q$19,FYXX_0!F5,FYXX_.05!F5,FYXX_1!F5,FYXX_1.5!F5,FYXX_2.0!F5,FYXX_2.5!F5,FYXX_3!F5,FYXX_3.5!F5,FYXX_4!F5,#REF!,#REF!)</f>
        <v>24280029</v>
      </c>
      <c r="D10" s="17">
        <f>CHOOSE($Q$19,FYXX_0!G5,FYXX_.05!G5,FYXX_1!G5,FYXX_1.5!G5,FYXX_2.0!G5,FYXX_2.5!G5,FYXX_3!G5,FYXX_3.5!G5,FYXX_4!G5,#REF!,#REF!)</f>
        <v>121006</v>
      </c>
      <c r="E10" s="17">
        <f>CHOOSE($Q$19,FYXX_0!H5,FYXX_.05!H5,FYXX_1!H5,FYXX_1.5!H5,FYXX_2.0!H5,FYXX_2.5!H5,FYXX_3!H5,FYXX_3.5!H5,FYXX_4!H5,#REF!,#REF!)</f>
        <v>4114822</v>
      </c>
      <c r="F10" s="17">
        <f>CHOOSE($Q$19,FYXX_0!I5,FYXX_.05!I5,FYXX_1!I5,FYXX_1.5!I5,FYXX_2.0!I5,FYXX_2.5!I5,FYXX_3!I5,FYXX_3.5!I5,FYXX_4!I5,#REF!,#REF!)</f>
        <v>4587236</v>
      </c>
      <c r="G10" s="17">
        <v>30000</v>
      </c>
      <c r="H10" s="17">
        <f>CHOOSE($Q$19,FYXX_0!K5,FYXX_.05!K5,FYXX_1!K5,FYXX_1.5!K5,FYXX_2.0!K5,FYXX_2.5!K5,FYXX_3!K5,FYXX_3.5!K5,FYXX_4!K5,#REF!,#REF!)</f>
        <v>2996491</v>
      </c>
      <c r="I10" s="17">
        <f>CHOOSE($Q$19,FYXX_0!L5,FYXX_.05!L5,FYXX_1!L5,FYXX_1.5!L5,FYXX_2.0!L5,FYXX_2.5!L5,FYXX_3!L5,FYXX_3.5!L5,FYXX_4!L5,#REF!,#REF!)</f>
        <v>344979</v>
      </c>
      <c r="J10" s="17">
        <v>-1051119</v>
      </c>
      <c r="K10" s="17">
        <f t="shared" si="0"/>
        <v>35423444</v>
      </c>
      <c r="M10" s="37">
        <f>CentralRivers!J7</f>
        <v>-4134155</v>
      </c>
      <c r="N10" s="38">
        <f t="shared" si="1"/>
        <v>32340408</v>
      </c>
      <c r="P10" s="5">
        <v>0.01</v>
      </c>
      <c r="Q10">
        <v>3</v>
      </c>
    </row>
    <row r="11" spans="1:17" x14ac:dyDescent="0.3">
      <c r="A11" s="47">
        <f>CHOOSE($Q$19,FYXX_0!C6,FYXX_.05!C6,FYXX_1!C6,FYXX_1.5!C6,FYXX_2.0!C6,FYXX_2.5!C6,FYXX_3!C6,FYXX_3.5!C6,FYXX_4!C6,#REF!)</f>
        <v>9</v>
      </c>
      <c r="B11" s="26" t="str">
        <f>VLOOKUP(A11,AEA_Names!$A$4:$B$12,2,FALSE)</f>
        <v>MISSISSIPPI BEND AEA</v>
      </c>
      <c r="C11" s="3">
        <f>CHOOSE($Q$19,FYXX_0!F6,FYXX_.05!F6,FYXX_1!F6,FYXX_1.5!F6,FYXX_2.0!F6,FYXX_2.5!F6,FYXX_3!F6,FYXX_3.5!F6,FYXX_4!F6,#REF!,#REF!)</f>
        <v>17494029</v>
      </c>
      <c r="D11" s="3">
        <f>CHOOSE($Q$19,FYXX_0!G6,FYXX_.05!G6,FYXX_1!G6,FYXX_1.5!G6,FYXX_2.0!G6,FYXX_2.5!G6,FYXX_3!G6,FYXX_3.5!G6,FYXX_4!G6,#REF!,#REF!)</f>
        <v>106079</v>
      </c>
      <c r="E11" s="3">
        <f>CHOOSE($Q$19,FYXX_0!H6,FYXX_.05!H6,FYXX_1!H6,FYXX_1.5!H6,FYXX_2.0!H6,FYXX_2.5!H6,FYXX_3!H6,FYXX_3.5!H6,FYXX_4!H6,#REF!,#REF!)</f>
        <v>3039340</v>
      </c>
      <c r="F11" s="3">
        <f>CHOOSE($Q$19,FYXX_0!I6,FYXX_.05!I6,FYXX_1!I6,FYXX_1.5!I6,FYXX_2.0!I6,FYXX_2.5!I6,FYXX_3!I6,FYXX_3.5!I6,FYXX_4!I6,#REF!,#REF!)</f>
        <v>3322556</v>
      </c>
      <c r="G11" s="3">
        <v>30000</v>
      </c>
      <c r="H11" s="3">
        <f>CHOOSE($Q$19,FYXX_0!K6,FYXX_.05!K6,FYXX_1!K6,FYXX_1.5!K6,FYXX_2.0!K6,FYXX_2.5!K6,FYXX_3!K6,FYXX_3.5!K6,FYXX_4!K6,#REF!,#REF!)</f>
        <v>1615159</v>
      </c>
      <c r="I11" s="3">
        <f>CHOOSE($Q$19,FYXX_0!L6,FYXX_.05!L6,FYXX_1!L6,FYXX_1.5!L6,FYXX_2.0!L6,FYXX_2.5!L6,FYXX_3!L6,FYXX_3.5!L6,FYXX_4!L6,#REF!,#REF!)</f>
        <v>189457</v>
      </c>
      <c r="J11" s="3">
        <v>-767782</v>
      </c>
      <c r="K11" s="3">
        <f t="shared" si="0"/>
        <v>25028838</v>
      </c>
      <c r="M11" s="35">
        <f>Miss_Bend!J7</f>
        <v>-3008239</v>
      </c>
      <c r="N11" s="36">
        <f t="shared" si="1"/>
        <v>22788381</v>
      </c>
      <c r="P11" s="5">
        <v>1.4999999999999999E-2</v>
      </c>
      <c r="Q11">
        <v>4</v>
      </c>
    </row>
    <row r="12" spans="1:17" x14ac:dyDescent="0.3">
      <c r="A12" s="47">
        <f>CHOOSE($Q$19,FYXX_0!C7,FYXX_.05!C7,FYXX_1!C7,FYXX_1.5!C7,FYXX_2.0!C7,FYXX_2.5!C7,FYXX_3!C7,FYXX_3.5!C7,FYXX_4!C7,#REF!)</f>
        <v>10</v>
      </c>
      <c r="B12" s="26" t="str">
        <f>VLOOKUP(A12,AEA_Names!$A$4:$B$12,2,FALSE)</f>
        <v>GRANT WOOD AEA</v>
      </c>
      <c r="C12" s="3">
        <f>CHOOSE($Q$19,FYXX_0!F7,FYXX_.05!F7,FYXX_1!F7,FYXX_1.5!F7,FYXX_2.0!F7,FYXX_2.5!F7,FYXX_3!F7,FYXX_3.5!F7,FYXX_4!F7,#REF!,#REF!)</f>
        <v>26483558</v>
      </c>
      <c r="D12" s="3">
        <f>CHOOSE($Q$19,FYXX_0!G7,FYXX_.05!G7,FYXX_1!G7,FYXX_1.5!G7,FYXX_2.0!G7,FYXX_2.5!G7,FYXX_3!G7,FYXX_3.5!G7,FYXX_4!G7,#REF!,#REF!)</f>
        <v>106540</v>
      </c>
      <c r="E12" s="3">
        <f>CHOOSE($Q$19,FYXX_0!H7,FYXX_.05!H7,FYXX_1!H7,FYXX_1.5!H7,FYXX_2.0!H7,FYXX_2.5!H7,FYXX_3!H7,FYXX_3.5!H7,FYXX_4!H7,#REF!,#REF!)</f>
        <v>4714605</v>
      </c>
      <c r="F12" s="3">
        <f>CHOOSE($Q$19,FYXX_0!I7,FYXX_.05!I7,FYXX_1!I7,FYXX_1.5!I7,FYXX_2.0!I7,FYXX_2.5!I7,FYXX_3!I7,FYXX_3.5!I7,FYXX_4!I7,#REF!,#REF!)</f>
        <v>5183772</v>
      </c>
      <c r="G12" s="3">
        <v>30000</v>
      </c>
      <c r="H12" s="3">
        <f>CHOOSE($Q$19,FYXX_0!K7,FYXX_.05!K7,FYXX_1!K7,FYXX_1.5!K7,FYXX_2.0!K7,FYXX_2.5!K7,FYXX_3!K7,FYXX_3.5!K7,FYXX_4!K7,#REF!,#REF!)</f>
        <v>2515498</v>
      </c>
      <c r="I12" s="3">
        <f>CHOOSE($Q$19,FYXX_0!L7,FYXX_.05!L7,FYXX_1!L7,FYXX_1.5!L7,FYXX_2.0!L7,FYXX_2.5!L7,FYXX_3!L7,FYXX_3.5!L7,FYXX_4!L7,#REF!,#REF!)</f>
        <v>292879</v>
      </c>
      <c r="J12" s="3">
        <v>-963257</v>
      </c>
      <c r="K12" s="3">
        <f t="shared" si="0"/>
        <v>38363595</v>
      </c>
      <c r="M12" s="35">
        <f>GrantWood!J7</f>
        <v>-3820494</v>
      </c>
      <c r="N12" s="36">
        <f t="shared" si="1"/>
        <v>35506358</v>
      </c>
      <c r="P12" s="5">
        <v>0.02</v>
      </c>
      <c r="Q12">
        <v>5</v>
      </c>
    </row>
    <row r="13" spans="1:17" x14ac:dyDescent="0.3">
      <c r="A13" s="47">
        <f>CHOOSE($Q$19,FYXX_0!C8,FYXX_.05!C8,FYXX_1!C8,FYXX_1.5!C8,FYXX_2.0!C8,FYXX_2.5!C8,FYXX_3!C8,FYXX_3.5!C8,FYXX_4!C8,#REF!)</f>
        <v>11</v>
      </c>
      <c r="B13" s="27" t="str">
        <f>VLOOKUP(A13,AEA_Names!$A$4:$B$12,2,FALSE)</f>
        <v>HEARTLAND AEA</v>
      </c>
      <c r="C13" s="17">
        <f>CHOOSE($Q$19,FYXX_0!F8,FYXX_.05!F8,FYXX_1!F8,FYXX_1.5!F8,FYXX_2.0!F8,FYXX_2.5!F8,FYXX_3!F8,FYXX_3.5!F8,FYXX_4!F8,#REF!,#REF!)</f>
        <v>53988712</v>
      </c>
      <c r="D13" s="17">
        <f>CHOOSE($Q$19,FYXX_0!G8,FYXX_.05!G8,FYXX_1!G8,FYXX_1.5!G8,FYXX_2.0!G8,FYXX_2.5!G8,FYXX_3!G8,FYXX_3.5!G8,FYXX_4!G8,#REF!,#REF!)</f>
        <v>47405</v>
      </c>
      <c r="E13" s="17">
        <f>CHOOSE($Q$19,FYXX_0!H8,FYXX_.05!H8,FYXX_1!H8,FYXX_1.5!H8,FYXX_2.0!H8,FYXX_2.5!H8,FYXX_3!H8,FYXX_3.5!H8,FYXX_4!H8,#REF!,#REF!)</f>
        <v>9710191</v>
      </c>
      <c r="F13" s="17">
        <f>CHOOSE($Q$19,FYXX_0!I8,FYXX_.05!I8,FYXX_1!I8,FYXX_1.5!I8,FYXX_2.0!I8,FYXX_2.5!I8,FYXX_3!I8,FYXX_3.5!I8,FYXX_4!I8,#REF!,#REF!)</f>
        <v>10669149</v>
      </c>
      <c r="G13" s="17">
        <v>0</v>
      </c>
      <c r="H13" s="17">
        <f>CHOOSE($Q$19,FYXX_0!K8,FYXX_.05!K8,FYXX_1!K8,FYXX_1.5!K8,FYXX_2.0!K8,FYXX_2.5!K8,FYXX_3!K8,FYXX_3.5!K8,FYXX_4!K8,#REF!,#REF!)</f>
        <v>4623627</v>
      </c>
      <c r="I13" s="17">
        <f>CHOOSE($Q$19,FYXX_0!L8,FYXX_.05!L8,FYXX_1!L8,FYXX_1.5!L8,FYXX_2.0!L8,FYXX_2.5!L8,FYXX_3!L8,FYXX_3.5!L8,FYXX_4!L8,#REF!,#REF!)</f>
        <v>578590</v>
      </c>
      <c r="J13" s="17">
        <v>-1693567</v>
      </c>
      <c r="K13" s="17">
        <f t="shared" si="0"/>
        <v>77924107</v>
      </c>
      <c r="M13" s="37">
        <f>Heartland!J7</f>
        <v>-6768337</v>
      </c>
      <c r="N13" s="38">
        <f t="shared" si="1"/>
        <v>72849337</v>
      </c>
      <c r="P13" s="5">
        <v>2.5000000000000001E-2</v>
      </c>
      <c r="Q13">
        <v>6</v>
      </c>
    </row>
    <row r="14" spans="1:17" x14ac:dyDescent="0.3">
      <c r="A14" s="47">
        <f>CHOOSE($Q$19,FYXX_0!C9,FYXX_.05!C9,FYXX_1!C9,FYXX_1.5!C9,FYXX_2.0!C9,FYXX_2.5!C9,FYXX_3!C9,FYXX_3.5!C9,FYXX_4!C9,#REF!)</f>
        <v>12</v>
      </c>
      <c r="B14" s="26" t="str">
        <f>VLOOKUP(A14,AEA_Names!$A$4:$B$12,2,FALSE)</f>
        <v>NORTHWEST AEA</v>
      </c>
      <c r="C14" s="3">
        <f>CHOOSE($Q$19,FYXX_0!F9,FYXX_.05!F9,FYXX_1!F9,FYXX_1.5!F9,FYXX_2.0!F9,FYXX_2.5!F9,FYXX_3!F9,FYXX_3.5!F9,FYXX_4!F9,#REF!,#REF!)</f>
        <v>15768694</v>
      </c>
      <c r="D14" s="3">
        <f>CHOOSE($Q$19,FYXX_0!G9,FYXX_.05!G9,FYXX_1!G9,FYXX_1.5!G9,FYXX_2.0!G9,FYXX_2.5!G9,FYXX_3!G9,FYXX_3.5!G9,FYXX_4!G9,#REF!,#REF!)</f>
        <v>79923</v>
      </c>
      <c r="E14" s="3">
        <f>CHOOSE($Q$19,FYXX_0!H9,FYXX_.05!H9,FYXX_1!H9,FYXX_1.5!H9,FYXX_2.0!H9,FYXX_2.5!H9,FYXX_3!H9,FYXX_3.5!H9,FYXX_4!H9,#REF!,#REF!)</f>
        <v>2875648</v>
      </c>
      <c r="F14" s="3">
        <f>CHOOSE($Q$19,FYXX_0!I9,FYXX_.05!I9,FYXX_1!I9,FYXX_1.5!I9,FYXX_2.0!I9,FYXX_2.5!I9,FYXX_3!I9,FYXX_3.5!I9,FYXX_4!I9,#REF!,#REF!)</f>
        <v>3219377</v>
      </c>
      <c r="G14" s="3">
        <v>30000</v>
      </c>
      <c r="H14" s="3">
        <f>CHOOSE($Q$19,FYXX_0!K9,FYXX_.05!K9,FYXX_1!K9,FYXX_1.5!K9,FYXX_2.0!K9,FYXX_2.5!K9,FYXX_3!K9,FYXX_3.5!K9,FYXX_4!K9,#REF!,#REF!)</f>
        <v>1595683</v>
      </c>
      <c r="I14" s="3">
        <f>CHOOSE($Q$19,FYXX_0!L9,FYXX_.05!L9,FYXX_1!L9,FYXX_1.5!L9,FYXX_2.0!L9,FYXX_2.5!L9,FYXX_3!L9,FYXX_3.5!L9,FYXX_4!L9,#REF!,#REF!)</f>
        <v>190119</v>
      </c>
      <c r="J14" s="3">
        <v>-647092</v>
      </c>
      <c r="K14" s="3">
        <f t="shared" si="0"/>
        <v>23112352</v>
      </c>
      <c r="M14" s="35">
        <f>Northwest!J7</f>
        <v>-2531689</v>
      </c>
      <c r="N14" s="36">
        <f t="shared" si="1"/>
        <v>21227755</v>
      </c>
      <c r="P14" s="5">
        <v>0.03</v>
      </c>
      <c r="Q14">
        <v>7</v>
      </c>
    </row>
    <row r="15" spans="1:17" x14ac:dyDescent="0.3">
      <c r="A15" s="47">
        <f>CHOOSE($Q$19,FYXX_0!C10,FYXX_.05!C10,FYXX_1!C10,FYXX_1.5!C10,FYXX_2.0!C10,FYXX_2.5!C10,FYXX_3!C10,FYXX_3.5!C10,FYXX_4!C10,#REF!)</f>
        <v>13</v>
      </c>
      <c r="B15" s="26" t="str">
        <f>VLOOKUP(A15,AEA_Names!$A$4:$B$12,2,FALSE)</f>
        <v>GREEN HILLS AEA</v>
      </c>
      <c r="C15" s="3">
        <f>CHOOSE($Q$19,FYXX_0!F10,FYXX_.05!F10,FYXX_1!F10,FYXX_1.5!F10,FYXX_2.0!F10,FYXX_2.5!F10,FYXX_3!F10,FYXX_3.5!F10,FYXX_4!F10,#REF!,#REF!)</f>
        <v>14587350</v>
      </c>
      <c r="D15" s="3">
        <f>CHOOSE($Q$19,FYXX_0!G10,FYXX_.05!G10,FYXX_1!G10,FYXX_1.5!G10,FYXX_2.0!G10,FYXX_2.5!G10,FYXX_3!G10,FYXX_3.5!G10,FYXX_4!G10,#REF!,#REF!)</f>
        <v>101172</v>
      </c>
      <c r="E15" s="3">
        <f>CHOOSE($Q$19,FYXX_0!H10,FYXX_.05!H10,FYXX_1!H10,FYXX_1.5!H10,FYXX_2.0!H10,FYXX_2.5!H10,FYXX_3!H10,FYXX_3.5!H10,FYXX_4!H10,#REF!,#REF!)</f>
        <v>2402307</v>
      </c>
      <c r="F15" s="3">
        <f>CHOOSE($Q$19,FYXX_0!I10,FYXX_.05!I10,FYXX_1!I10,FYXX_1.5!I10,FYXX_2.0!I10,FYXX_2.5!I10,FYXX_3!I10,FYXX_3.5!I10,FYXX_4!I10,#REF!,#REF!)</f>
        <v>2656038</v>
      </c>
      <c r="G15" s="3">
        <v>30000</v>
      </c>
      <c r="H15" s="3">
        <f>CHOOSE($Q$19,FYXX_0!K10,FYXX_.05!K10,FYXX_1!K10,FYXX_1.5!K10,FYXX_2.0!K10,FYXX_2.5!K10,FYXX_3!K10,FYXX_3.5!K10,FYXX_4!K10,#REF!,#REF!)</f>
        <v>1506072</v>
      </c>
      <c r="I15" s="3">
        <f>CHOOSE($Q$19,FYXX_0!L10,FYXX_.05!L10,FYXX_1!L10,FYXX_1.5!L10,FYXX_2.0!L10,FYXX_2.5!L10,FYXX_3!L10,FYXX_3.5!L10,FYXX_4!L10,#REF!,#REF!)</f>
        <v>162778</v>
      </c>
      <c r="J15" s="3">
        <v>-656548</v>
      </c>
      <c r="K15" s="3">
        <f t="shared" si="0"/>
        <v>20789169</v>
      </c>
      <c r="M15" s="35">
        <f>GreenHills!J7</f>
        <v>-2572196</v>
      </c>
      <c r="N15" s="36">
        <f t="shared" si="1"/>
        <v>18873521</v>
      </c>
      <c r="P15" s="5">
        <v>3.5000000000000003E-2</v>
      </c>
      <c r="Q15">
        <v>8</v>
      </c>
    </row>
    <row r="16" spans="1:17" x14ac:dyDescent="0.3">
      <c r="A16" s="47">
        <f>CHOOSE($Q$19,FYXX_0!C11,FYXX_.05!C11,FYXX_1!C11,FYXX_1.5!C11,FYXX_2.0!C11,FYXX_2.5!C11,FYXX_3!C11,FYXX_3.5!C11,FYXX_4!C11,#REF!)</f>
        <v>15</v>
      </c>
      <c r="B16" s="27" t="str">
        <f>VLOOKUP(A16,AEA_Names!$A$4:$B$12,2,FALSE)</f>
        <v>GREAT PRAIRIE AEA</v>
      </c>
      <c r="C16" s="17">
        <f>CHOOSE($Q$19,FYXX_0!F11,FYXX_.05!F11,FYXX_1!F11,FYXX_1.5!F11,FYXX_2.0!F11,FYXX_2.5!F11,FYXX_3!F11,FYXX_3.5!F11,FYXX_4!F11,#REF!,#REF!)</f>
        <v>12960559</v>
      </c>
      <c r="D16" s="17">
        <f>CHOOSE($Q$19,FYXX_0!G11,FYXX_.05!G11,FYXX_1!G11,FYXX_1.5!G11,FYXX_2.0!G11,FYXX_2.5!G11,FYXX_3!G11,FYXX_3.5!G11,FYXX_4!G11,#REF!,#REF!)</f>
        <v>121002</v>
      </c>
      <c r="E16" s="17">
        <f>CHOOSE($Q$19,FYXX_0!H11,FYXX_.05!H11,FYXX_1!H11,FYXX_1.5!H11,FYXX_2.0!H11,FYXX_2.5!H11,FYXX_3!H11,FYXX_3.5!H11,FYXX_4!H11,#REF!,#REF!)</f>
        <v>2214056</v>
      </c>
      <c r="F16" s="17">
        <f>CHOOSE($Q$19,FYXX_0!I11,FYXX_.05!I11,FYXX_1!I11,FYXX_1.5!I11,FYXX_2.0!I11,FYXX_2.5!I11,FYXX_3!I11,FYXX_3.5!I11,FYXX_4!I11,#REF!,#REF!)</f>
        <v>2434104</v>
      </c>
      <c r="G16" s="17">
        <v>30000</v>
      </c>
      <c r="H16" s="17">
        <f>CHOOSE($Q$19,FYXX_0!K11,FYXX_.05!K11,FYXX_1!K11,FYXX_1.5!K11,FYXX_2.0!K11,FYXX_2.5!K11,FYXX_3!K11,FYXX_3.5!K11,FYXX_4!K11,#REF!,#REF!)</f>
        <v>1308946</v>
      </c>
      <c r="I16" s="17">
        <f>CHOOSE($Q$19,FYXX_0!L11,FYXX_.05!L11,FYXX_1!L11,FYXX_1.5!L11,FYXX_2.0!L11,FYXX_2.5!L11,FYXX_3!L11,FYXX_3.5!L11,FYXX_4!L11,#REF!,#REF!)</f>
        <v>143643</v>
      </c>
      <c r="J16" s="17">
        <v>-610815</v>
      </c>
      <c r="K16" s="17">
        <f t="shared" si="0"/>
        <v>18601495</v>
      </c>
      <c r="M16" s="37">
        <f>GreatPrairie!J7</f>
        <v>-2399597</v>
      </c>
      <c r="N16" s="38">
        <f t="shared" si="1"/>
        <v>16812713</v>
      </c>
      <c r="P16" s="5">
        <v>0.04</v>
      </c>
      <c r="Q16">
        <v>9</v>
      </c>
    </row>
    <row r="17" spans="1:17" ht="9" customHeight="1" x14ac:dyDescent="0.3">
      <c r="B17" s="9"/>
      <c r="C17" s="3"/>
      <c r="D17" s="3"/>
      <c r="E17" s="3"/>
      <c r="F17" s="3"/>
      <c r="G17" s="3"/>
      <c r="H17" s="3"/>
      <c r="I17" s="3"/>
      <c r="J17" s="3"/>
      <c r="K17" s="3"/>
      <c r="M17" s="35"/>
      <c r="N17" s="36"/>
      <c r="P17" s="5"/>
    </row>
    <row r="18" spans="1:17" x14ac:dyDescent="0.3">
      <c r="B18" s="10" t="s">
        <v>25</v>
      </c>
      <c r="C18" s="11">
        <f>SUM(C8:C16)</f>
        <v>188898894</v>
      </c>
      <c r="D18" s="11">
        <f t="shared" ref="D18:N18" si="2">SUM(D8:D16)</f>
        <v>833839</v>
      </c>
      <c r="E18" s="11">
        <f t="shared" si="2"/>
        <v>33132147</v>
      </c>
      <c r="F18" s="11">
        <f t="shared" si="2"/>
        <v>36608224</v>
      </c>
      <c r="G18" s="11">
        <f t="shared" si="2"/>
        <v>210000</v>
      </c>
      <c r="H18" s="11">
        <f t="shared" si="2"/>
        <v>18564717</v>
      </c>
      <c r="I18" s="11">
        <f t="shared" si="2"/>
        <v>2176458</v>
      </c>
      <c r="J18" s="11">
        <f t="shared" si="2"/>
        <v>-7500000</v>
      </c>
      <c r="K18" s="11">
        <f t="shared" si="2"/>
        <v>272924279</v>
      </c>
      <c r="M18" s="39">
        <f t="shared" si="2"/>
        <v>-29557131</v>
      </c>
      <c r="N18" s="40">
        <f t="shared" si="2"/>
        <v>250867148</v>
      </c>
      <c r="P18" s="5"/>
    </row>
    <row r="19" spans="1:17" x14ac:dyDescent="0.3">
      <c r="P19" s="7">
        <f>C5</f>
        <v>2.5000000000000001E-2</v>
      </c>
      <c r="Q19">
        <f>VLOOKUP(P19,P8:Q16,2,FALSE)</f>
        <v>6</v>
      </c>
    </row>
    <row r="20" spans="1:17" ht="7.95" customHeight="1" x14ac:dyDescent="0.3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7" ht="18" x14ac:dyDescent="0.35">
      <c r="B21" s="29" t="s">
        <v>27</v>
      </c>
    </row>
    <row r="22" spans="1:17" ht="6.6" customHeight="1" thickBot="1" x14ac:dyDescent="0.35">
      <c r="B22" s="16"/>
    </row>
    <row r="23" spans="1:17" ht="18.600000000000001" thickBot="1" x14ac:dyDescent="0.4">
      <c r="B23" s="14" t="s">
        <v>26</v>
      </c>
      <c r="C23" s="28">
        <v>0.02</v>
      </c>
      <c r="D23" s="12" t="str">
        <f>D5</f>
        <v>FY 2025 Amounts By AEA at Selected SSA Rate</v>
      </c>
      <c r="M23" s="60" t="str">
        <f>M5</f>
        <v>Matching Prior FY Reduction Amount</v>
      </c>
      <c r="N23" s="61"/>
    </row>
    <row r="24" spans="1:17" ht="9" customHeight="1" x14ac:dyDescent="0.3">
      <c r="M24" s="31"/>
      <c r="N24" s="32"/>
    </row>
    <row r="25" spans="1:17" ht="55.95" customHeight="1" x14ac:dyDescent="0.3">
      <c r="A25" s="8"/>
      <c r="B25" s="8" t="s">
        <v>13</v>
      </c>
      <c r="C25" s="8" t="s">
        <v>16</v>
      </c>
      <c r="D25" s="8" t="s">
        <v>17</v>
      </c>
      <c r="E25" s="8" t="s">
        <v>18</v>
      </c>
      <c r="F25" s="8" t="s">
        <v>19</v>
      </c>
      <c r="G25" s="8" t="str">
        <f>G7</f>
        <v>Sharing*</v>
      </c>
      <c r="H25" s="8" t="s">
        <v>22</v>
      </c>
      <c r="I25" s="8" t="s">
        <v>21</v>
      </c>
      <c r="J25" s="8" t="s">
        <v>23</v>
      </c>
      <c r="K25" s="8" t="s">
        <v>24</v>
      </c>
      <c r="M25" s="33" t="s">
        <v>32</v>
      </c>
      <c r="N25" s="34" t="s">
        <v>24</v>
      </c>
    </row>
    <row r="26" spans="1:17" x14ac:dyDescent="0.3">
      <c r="A26" s="47">
        <f>CHOOSE($Q$37,FYXX_0!C3,FYXX_.05!C3,FYXX_1!C3,FYXX_1.5!C3,FYXX_2.0!C3,FYXX_2.5!C3,FYXX_3!C3,FYXX_3.5!C3,FYXX_4!C3,#REF!)</f>
        <v>1</v>
      </c>
      <c r="B26" s="26" t="str">
        <f>VLOOKUP(A26,AEA_Names!$A$4:$B$12,2,FALSE)</f>
        <v>KEYSTONE AEA</v>
      </c>
      <c r="C26" s="3">
        <f>CHOOSE($Q$37,FYXX_0!F3,FYXX_.05!F3,FYXX_1!F3,FYXX_1.5!F3,FYXX_2.0!F3,FYXX_2.5!F3,FYXX_3!F3,FYXX_3.5!F3,FYXX_4!F3,#REF!,#REF!)</f>
        <v>11424929</v>
      </c>
      <c r="D26" s="3">
        <f>CHOOSE($Q$37,FYXX_0!G3,FYXX_.05!G3,FYXX_1!G3,FYXX_1.5!G3,FYXX_2.0!G3,FYXX_2.5!G3,FYXX_3!G3,FYXX_3.5!G3,FYXX_4!G3,#REF!,#REF!)</f>
        <v>19002</v>
      </c>
      <c r="E26" s="3">
        <f>CHOOSE($Q$37,FYXX_0!H3,FYXX_.05!H3,FYXX_1!H3,FYXX_1.5!H3,FYXX_2.0!H3,FYXX_2.5!H3,FYXX_3!H3,FYXX_3.5!H3,FYXX_4!H3,#REF!,#REF!)</f>
        <v>2009550</v>
      </c>
      <c r="F26" s="3">
        <f>CHOOSE($Q$37,FYXX_0!I3,FYXX_.05!I3,FYXX_1!I3,FYXX_1.5!I3,FYXX_2.0!I3,FYXX_2.5!I3,FYXX_3!I3,FYXX_3.5!I3,FYXX_4!I3,#REF!,#REF!)</f>
        <v>2238336</v>
      </c>
      <c r="G26" s="3">
        <v>30000</v>
      </c>
      <c r="H26" s="3">
        <f>CHOOSE($Q$37,FYXX_0!K3,FYXX_.05!K3,FYXX_1!K3,FYXX_1.5!K3,FYXX_2.0!K3,FYXX_2.5!K3,FYXX_3!K3,FYXX_3.5!K3,FYXX_4!K3,#REF!,#REF!)</f>
        <v>1133579</v>
      </c>
      <c r="I26" s="3">
        <f>CHOOSE($Q$37,FYXX_0!L3,FYXX_.05!L3,FYXX_1!L3,FYXX_1.5!L3,FYXX_2.0!L3,FYXX_2.5!L3,FYXX_3!L3,FYXX_3.5!L3,FYXX_4!L3,#REF!,#REF!)</f>
        <v>123146</v>
      </c>
      <c r="J26" s="3">
        <f>J8</f>
        <v>-537076</v>
      </c>
      <c r="K26" s="3">
        <f>SUM(C26:J26)</f>
        <v>16441466</v>
      </c>
      <c r="M26" s="35">
        <f t="shared" ref="M26:M34" si="3">M8</f>
        <v>-2094923</v>
      </c>
      <c r="N26" s="36">
        <f>C26+D26+E26+F26+G26+H26+I26+M26</f>
        <v>14883619</v>
      </c>
      <c r="P26" s="5">
        <f>P8</f>
        <v>0</v>
      </c>
      <c r="Q26">
        <v>1</v>
      </c>
    </row>
    <row r="27" spans="1:17" x14ac:dyDescent="0.3">
      <c r="A27" s="47">
        <f>CHOOSE($Q$37,FYXX_0!C4,FYXX_.05!C4,FYXX_1!C4,FYXX_1.5!C4,FYXX_2.0!C4,FYXX_2.5!C4,FYXX_3!C4,FYXX_3.5!C4,FYXX_4!C4,#REF!)</f>
        <v>5</v>
      </c>
      <c r="B27" s="26" t="str">
        <f>VLOOKUP(A27,AEA_Names!$A$4:$B$12,2,FALSE)</f>
        <v>PRAIRIE LAKES AEA</v>
      </c>
      <c r="C27" s="3">
        <f>CHOOSE($Q$37,FYXX_0!F4,FYXX_.05!F4,FYXX_1!F4,FYXX_1.5!F4,FYXX_2.0!F4,FYXX_2.5!F4,FYXX_3!F4,FYXX_3.5!F4,FYXX_4!F4,#REF!,#REF!)</f>
        <v>11801039</v>
      </c>
      <c r="D27" s="3">
        <f>CHOOSE($Q$37,FYXX_0!G4,FYXX_.05!G4,FYXX_1!G4,FYXX_1.5!G4,FYXX_2.0!G4,FYXX_2.5!G4,FYXX_3!G4,FYXX_3.5!G4,FYXX_4!G4,#REF!,#REF!)</f>
        <v>157817</v>
      </c>
      <c r="E27" s="3">
        <f>CHOOSE($Q$37,FYXX_0!H4,FYXX_.05!H4,FYXX_1!H4,FYXX_1.5!H4,FYXX_2.0!H4,FYXX_2.5!H4,FYXX_3!H4,FYXX_3.5!H4,FYXX_4!H4,#REF!,#REF!)</f>
        <v>2031968</v>
      </c>
      <c r="F27" s="3">
        <f>CHOOSE($Q$37,FYXX_0!I4,FYXX_.05!I4,FYXX_1!I4,FYXX_1.5!I4,FYXX_2.0!I4,FYXX_2.5!I4,FYXX_3!I4,FYXX_3.5!I4,FYXX_4!I4,#REF!,#REF!)</f>
        <v>2275445</v>
      </c>
      <c r="G27" s="3">
        <v>0</v>
      </c>
      <c r="H27" s="3">
        <f>CHOOSE($Q$37,FYXX_0!K4,FYXX_.05!K4,FYXX_1!K4,FYXX_1.5!K4,FYXX_2.0!K4,FYXX_2.5!K4,FYXX_3!K4,FYXX_3.5!K4,FYXX_4!K4,#REF!,#REF!)</f>
        <v>1260734</v>
      </c>
      <c r="I27" s="3">
        <f>CHOOSE($Q$37,FYXX_0!L4,FYXX_.05!L4,FYXX_1!L4,FYXX_1.5!L4,FYXX_2.0!L4,FYXX_2.5!L4,FYXX_3!L4,FYXX_3.5!L4,FYXX_4!L4,#REF!,#REF!)</f>
        <v>149807</v>
      </c>
      <c r="J27" s="3">
        <f t="shared" ref="J27:J34" si="4">J9</f>
        <v>-572744</v>
      </c>
      <c r="K27" s="3">
        <f>SUM(C27:J27)</f>
        <v>17104066</v>
      </c>
      <c r="M27" s="35">
        <f t="shared" si="3"/>
        <v>-2227501</v>
      </c>
      <c r="N27" s="36">
        <f t="shared" ref="N27:N33" si="5">C27+D27+E27+F27+G27+H27+I27+M27</f>
        <v>15449309</v>
      </c>
      <c r="P27" s="5">
        <f t="shared" ref="P27:P34" si="6">P9</f>
        <v>5.0000000000000001E-3</v>
      </c>
      <c r="Q27">
        <v>2</v>
      </c>
    </row>
    <row r="28" spans="1:17" x14ac:dyDescent="0.3">
      <c r="A28" s="47">
        <f>CHOOSE($Q$37,FYXX_0!C5,FYXX_.05!C5,FYXX_1!C5,FYXX_1.5!C5,FYXX_2.0!C5,FYXX_2.5!C5,FYXX_3!C5,FYXX_3.5!C5,FYXX_4!C5,#REF!)</f>
        <v>7</v>
      </c>
      <c r="B28" s="27" t="str">
        <f>VLOOKUP(A28,AEA_Names!$A$4:$B$12,2,FALSE)</f>
        <v>Central Rivers AEA</v>
      </c>
      <c r="C28" s="17">
        <f>CHOOSE($Q$37,FYXX_0!F5,FYXX_.05!F5,FYXX_1!F5,FYXX_1.5!F5,FYXX_2.0!F5,FYXX_2.5!F5,FYXX_3!F5,FYXX_3.5!F5,FYXX_4!F5,#REF!,#REF!)</f>
        <v>24162702</v>
      </c>
      <c r="D28" s="17">
        <f>CHOOSE($Q$37,FYXX_0!G5,FYXX_.05!G5,FYXX_1!G5,FYXX_1.5!G5,FYXX_2.0!G5,FYXX_2.5!G5,FYXX_3!G5,FYXX_3.5!G5,FYXX_4!G5,#REF!,#REF!)</f>
        <v>145927</v>
      </c>
      <c r="E28" s="17">
        <f>CHOOSE($Q$37,FYXX_0!H5,FYXX_.05!H5,FYXX_1!H5,FYXX_1.5!H5,FYXX_2.0!H5,FYXX_2.5!H5,FYXX_3!H5,FYXX_3.5!H5,FYXX_4!H5,#REF!,#REF!)</f>
        <v>4094893</v>
      </c>
      <c r="F28" s="17">
        <f>CHOOSE($Q$37,FYXX_0!I5,FYXX_.05!I5,FYXX_1!I5,FYXX_1.5!I5,FYXX_2.0!I5,FYXX_2.5!I5,FYXX_3!I5,FYXX_3.5!I5,FYXX_4!I5,#REF!,#REF!)</f>
        <v>4564740</v>
      </c>
      <c r="G28" s="17">
        <v>30000</v>
      </c>
      <c r="H28" s="17">
        <f>CHOOSE($Q$37,FYXX_0!K5,FYXX_.05!K5,FYXX_1!K5,FYXX_1.5!K5,FYXX_2.0!K5,FYXX_2.5!K5,FYXX_3!K5,FYXX_3.5!K5,FYXX_4!K5,#REF!,#REF!)</f>
        <v>2986470</v>
      </c>
      <c r="I28" s="17">
        <f>CHOOSE($Q$37,FYXX_0!L5,FYXX_.05!L5,FYXX_1!L5,FYXX_1.5!L5,FYXX_2.0!L5,FYXX_2.5!L5,FYXX_3!L5,FYXX_3.5!L5,FYXX_4!L5,#REF!,#REF!)</f>
        <v>343805</v>
      </c>
      <c r="J28" s="17">
        <f t="shared" si="4"/>
        <v>-1051119</v>
      </c>
      <c r="K28" s="17">
        <f t="shared" ref="K28:K34" si="7">SUM(C28:J28)</f>
        <v>35277418</v>
      </c>
      <c r="M28" s="37">
        <f t="shared" si="3"/>
        <v>-4134155</v>
      </c>
      <c r="N28" s="38">
        <f t="shared" si="5"/>
        <v>32194382</v>
      </c>
      <c r="P28" s="5">
        <f t="shared" si="6"/>
        <v>0.01</v>
      </c>
      <c r="Q28">
        <v>3</v>
      </c>
    </row>
    <row r="29" spans="1:17" x14ac:dyDescent="0.3">
      <c r="A29" s="47">
        <f>CHOOSE($Q$37,FYXX_0!C6,FYXX_.05!C6,FYXX_1!C6,FYXX_1.5!C6,FYXX_2.0!C6,FYXX_2.5!C6,FYXX_3!C6,FYXX_3.5!C6,FYXX_4!C6,#REF!)</f>
        <v>9</v>
      </c>
      <c r="B29" s="26" t="str">
        <f>VLOOKUP(A29,AEA_Names!$A$4:$B$12,2,FALSE)</f>
        <v>MISSISSIPPI BEND AEA</v>
      </c>
      <c r="C29" s="3">
        <f>CHOOSE($Q$37,FYXX_0!F6,FYXX_.05!F6,FYXX_1!F6,FYXX_1.5!F6,FYXX_2.0!F6,FYXX_2.5!F6,FYXX_3!F6,FYXX_3.5!F6,FYXX_4!F6,#REF!,#REF!)</f>
        <v>17408909</v>
      </c>
      <c r="D29" s="3">
        <f>CHOOSE($Q$37,FYXX_0!G6,FYXX_.05!G6,FYXX_1!G6,FYXX_1.5!G6,FYXX_2.0!G6,FYXX_2.5!G6,FYXX_3!G6,FYXX_3.5!G6,FYXX_4!G6,#REF!,#REF!)</f>
        <v>156162</v>
      </c>
      <c r="E29" s="3">
        <f>CHOOSE($Q$37,FYXX_0!H6,FYXX_.05!H6,FYXX_1!H6,FYXX_1.5!H6,FYXX_2.0!H6,FYXX_2.5!H6,FYXX_3!H6,FYXX_3.5!H6,FYXX_4!H6,#REF!,#REF!)</f>
        <v>3024507</v>
      </c>
      <c r="F29" s="3">
        <f>CHOOSE($Q$37,FYXX_0!I6,FYXX_.05!I6,FYXX_1!I6,FYXX_1.5!I6,FYXX_2.0!I6,FYXX_2.5!I6,FYXX_3!I6,FYXX_3.5!I6,FYXX_4!I6,#REF!,#REF!)</f>
        <v>3305813</v>
      </c>
      <c r="G29" s="3">
        <v>30000</v>
      </c>
      <c r="H29" s="3">
        <f>CHOOSE($Q$37,FYXX_0!K6,FYXX_.05!K6,FYXX_1!K6,FYXX_1.5!K6,FYXX_2.0!K6,FYXX_2.5!K6,FYXX_3!K6,FYXX_3.5!K6,FYXX_4!K6,#REF!,#REF!)</f>
        <v>1608300</v>
      </c>
      <c r="I29" s="3">
        <f>CHOOSE($Q$37,FYXX_0!L6,FYXX_.05!L6,FYXX_1!L6,FYXX_1.5!L6,FYXX_2.0!L6,FYXX_2.5!L6,FYXX_3!L6,FYXX_3.5!L6,FYXX_4!L6,#REF!,#REF!)</f>
        <v>188652</v>
      </c>
      <c r="J29" s="3">
        <f t="shared" si="4"/>
        <v>-767782</v>
      </c>
      <c r="K29" s="3">
        <f t="shared" si="7"/>
        <v>24954561</v>
      </c>
      <c r="M29" s="35">
        <f t="shared" si="3"/>
        <v>-3008239</v>
      </c>
      <c r="N29" s="36">
        <f t="shared" si="5"/>
        <v>22714104</v>
      </c>
      <c r="P29" s="5">
        <f t="shared" si="6"/>
        <v>1.4999999999999999E-2</v>
      </c>
      <c r="Q29">
        <v>4</v>
      </c>
    </row>
    <row r="30" spans="1:17" x14ac:dyDescent="0.3">
      <c r="A30" s="47">
        <f>CHOOSE($Q$37,FYXX_0!C7,FYXX_.05!C7,FYXX_1!C7,FYXX_1.5!C7,FYXX_2.0!C7,FYXX_2.5!C7,FYXX_3!C7,FYXX_3.5!C7,FYXX_4!C7,#REF!)</f>
        <v>10</v>
      </c>
      <c r="B30" s="26" t="str">
        <f>VLOOKUP(A30,AEA_Names!$A$4:$B$12,2,FALSE)</f>
        <v>GRANT WOOD AEA</v>
      </c>
      <c r="C30" s="3">
        <f>CHOOSE($Q$37,FYXX_0!F7,FYXX_.05!F7,FYXX_1!F7,FYXX_1.5!F7,FYXX_2.0!F7,FYXX_2.5!F7,FYXX_3!F7,FYXX_3.5!F7,FYXX_4!F7,#REF!,#REF!)</f>
        <v>26353981</v>
      </c>
      <c r="D30" s="3">
        <f>CHOOSE($Q$37,FYXX_0!G7,FYXX_.05!G7,FYXX_1!G7,FYXX_1.5!G7,FYXX_2.0!G7,FYXX_2.5!G7,FYXX_3!G7,FYXX_3.5!G7,FYXX_4!G7,#REF!,#REF!)</f>
        <v>124803</v>
      </c>
      <c r="E30" s="3">
        <f>CHOOSE($Q$37,FYXX_0!H7,FYXX_.05!H7,FYXX_1!H7,FYXX_1.5!H7,FYXX_2.0!H7,FYXX_2.5!H7,FYXX_3!H7,FYXX_3.5!H7,FYXX_4!H7,#REF!,#REF!)</f>
        <v>4691665</v>
      </c>
      <c r="F30" s="3">
        <f>CHOOSE($Q$37,FYXX_0!I7,FYXX_.05!I7,FYXX_1!I7,FYXX_1.5!I7,FYXX_2.0!I7,FYXX_2.5!I7,FYXX_3!I7,FYXX_3.5!I7,FYXX_4!I7,#REF!,#REF!)</f>
        <v>5157871</v>
      </c>
      <c r="G30" s="3">
        <v>30000</v>
      </c>
      <c r="H30" s="3">
        <f>CHOOSE($Q$37,FYXX_0!K7,FYXX_.05!K7,FYXX_1!K7,FYXX_1.5!K7,FYXX_2.0!K7,FYXX_2.5!K7,FYXX_3!K7,FYXX_3.5!K7,FYXX_4!K7,#REF!,#REF!)</f>
        <v>2503378</v>
      </c>
      <c r="I30" s="3">
        <f>CHOOSE($Q$37,FYXX_0!L7,FYXX_.05!L7,FYXX_1!L7,FYXX_1.5!L7,FYXX_2.0!L7,FYXX_2.5!L7,FYXX_3!L7,FYXX_3.5!L7,FYXX_4!L7,#REF!,#REF!)</f>
        <v>291455</v>
      </c>
      <c r="J30" s="3">
        <f t="shared" si="4"/>
        <v>-963257</v>
      </c>
      <c r="K30" s="3">
        <f t="shared" si="7"/>
        <v>38189896</v>
      </c>
      <c r="M30" s="35">
        <f t="shared" si="3"/>
        <v>-3820494</v>
      </c>
      <c r="N30" s="36">
        <f t="shared" si="5"/>
        <v>35332659</v>
      </c>
      <c r="P30" s="5">
        <f t="shared" si="6"/>
        <v>0.02</v>
      </c>
      <c r="Q30">
        <v>5</v>
      </c>
    </row>
    <row r="31" spans="1:17" x14ac:dyDescent="0.3">
      <c r="A31" s="47">
        <f>CHOOSE($Q$37,FYXX_0!C8,FYXX_.05!C8,FYXX_1!C8,FYXX_1.5!C8,FYXX_2.0!C8,FYXX_2.5!C8,FYXX_3!C8,FYXX_3.5!C8,FYXX_4!C8,#REF!)</f>
        <v>11</v>
      </c>
      <c r="B31" s="27" t="str">
        <f>VLOOKUP(A31,AEA_Names!$A$4:$B$12,2,FALSE)</f>
        <v>HEARTLAND AEA</v>
      </c>
      <c r="C31" s="17">
        <f>CHOOSE($Q$37,FYXX_0!F8,FYXX_.05!F8,FYXX_1!F8,FYXX_1.5!F8,FYXX_2.0!F8,FYXX_2.5!F8,FYXX_3!F8,FYXX_3.5!F8,FYXX_4!F8,#REF!,#REF!)</f>
        <v>53718945</v>
      </c>
      <c r="D31" s="17">
        <f>CHOOSE($Q$37,FYXX_0!G8,FYXX_.05!G8,FYXX_1!G8,FYXX_1.5!G8,FYXX_2.0!G8,FYXX_2.5!G8,FYXX_3!G8,FYXX_3.5!G8,FYXX_4!G8,#REF!,#REF!)</f>
        <v>59953</v>
      </c>
      <c r="E31" s="17">
        <f>CHOOSE($Q$37,FYXX_0!H8,FYXX_.05!H8,FYXX_1!H8,FYXX_1.5!H8,FYXX_2.0!H8,FYXX_2.5!H8,FYXX_3!H8,FYXX_3.5!H8,FYXX_4!H8,#REF!,#REF!)</f>
        <v>9662858</v>
      </c>
      <c r="F31" s="17">
        <f>CHOOSE($Q$37,FYXX_0!I8,FYXX_.05!I8,FYXX_1!I8,FYXX_1.5!I8,FYXX_2.0!I8,FYXX_2.5!I8,FYXX_3!I8,FYXX_3.5!I8,FYXX_4!I8,#REF!,#REF!)</f>
        <v>10615699</v>
      </c>
      <c r="G31" s="17">
        <v>0</v>
      </c>
      <c r="H31" s="17">
        <f>CHOOSE($Q$37,FYXX_0!K8,FYXX_.05!K8,FYXX_1!K8,FYXX_1.5!K8,FYXX_2.0!K8,FYXX_2.5!K8,FYXX_3!K8,FYXX_3.5!K8,FYXX_4!K8,#REF!,#REF!)</f>
        <v>4596985</v>
      </c>
      <c r="I31" s="17">
        <f>CHOOSE($Q$37,FYXX_0!L8,FYXX_.05!L8,FYXX_1!L8,FYXX_1.5!L8,FYXX_2.0!L8,FYXX_2.5!L8,FYXX_3!L8,FYXX_3.5!L8,FYXX_4!L8,#REF!,#REF!)</f>
        <v>575470</v>
      </c>
      <c r="J31" s="17">
        <f t="shared" si="4"/>
        <v>-1693567</v>
      </c>
      <c r="K31" s="17">
        <f t="shared" si="7"/>
        <v>77536343</v>
      </c>
      <c r="M31" s="37">
        <f t="shared" si="3"/>
        <v>-6768337</v>
      </c>
      <c r="N31" s="38">
        <f t="shared" si="5"/>
        <v>72461573</v>
      </c>
      <c r="P31" s="5">
        <f t="shared" si="6"/>
        <v>2.5000000000000001E-2</v>
      </c>
      <c r="Q31">
        <v>6</v>
      </c>
    </row>
    <row r="32" spans="1:17" x14ac:dyDescent="0.3">
      <c r="A32" s="47">
        <f>CHOOSE($Q$37,FYXX_0!C9,FYXX_.05!C9,FYXX_1!C9,FYXX_1.5!C9,FYXX_2.0!C9,FYXX_2.5!C9,FYXX_3!C9,FYXX_3.5!C9,FYXX_4!C9,#REF!)</f>
        <v>12</v>
      </c>
      <c r="B32" s="26" t="str">
        <f>VLOOKUP(A32,AEA_Names!$A$4:$B$12,2,FALSE)</f>
        <v>NORTHWEST AEA</v>
      </c>
      <c r="C32" s="3">
        <f>CHOOSE($Q$37,FYXX_0!F9,FYXX_.05!F9,FYXX_1!F9,FYXX_1.5!F9,FYXX_2.0!F9,FYXX_2.5!F9,FYXX_3!F9,FYXX_3.5!F9,FYXX_4!F9,#REF!,#REF!)</f>
        <v>15693206</v>
      </c>
      <c r="D32" s="3">
        <f>CHOOSE($Q$37,FYXX_0!G9,FYXX_.05!G9,FYXX_1!G9,FYXX_1.5!G9,FYXX_2.0!G9,FYXX_2.5!G9,FYXX_3!G9,FYXX_3.5!G9,FYXX_4!G9,#REF!,#REF!)</f>
        <v>93663</v>
      </c>
      <c r="E32" s="3">
        <f>CHOOSE($Q$37,FYXX_0!H9,FYXX_.05!H9,FYXX_1!H9,FYXX_1.5!H9,FYXX_2.0!H9,FYXX_2.5!H9,FYXX_3!H9,FYXX_3.5!H9,FYXX_4!H9,#REF!,#REF!)</f>
        <v>2861718</v>
      </c>
      <c r="F32" s="3">
        <f>CHOOSE($Q$37,FYXX_0!I9,FYXX_.05!I9,FYXX_1!I9,FYXX_1.5!I9,FYXX_2.0!I9,FYXX_2.5!I9,FYXX_3!I9,FYXX_3.5!I9,FYXX_4!I9,#REF!,#REF!)</f>
        <v>3203653</v>
      </c>
      <c r="G32" s="3">
        <v>30000</v>
      </c>
      <c r="H32" s="3">
        <f>CHOOSE($Q$37,FYXX_0!K9,FYXX_.05!K9,FYXX_1!K9,FYXX_1.5!K9,FYXX_2.0!K9,FYXX_2.5!K9,FYXX_3!K9,FYXX_3.5!K9,FYXX_4!K9,#REF!,#REF!)</f>
        <v>1589340</v>
      </c>
      <c r="I32" s="3">
        <f>CHOOSE($Q$37,FYXX_0!L9,FYXX_.05!L9,FYXX_1!L9,FYXX_1.5!L9,FYXX_2.0!L9,FYXX_2.5!L9,FYXX_3!L9,FYXX_3.5!L9,FYXX_4!L9,#REF!,#REF!)</f>
        <v>189374</v>
      </c>
      <c r="J32" s="3">
        <f t="shared" si="4"/>
        <v>-647092</v>
      </c>
      <c r="K32" s="3">
        <f t="shared" si="7"/>
        <v>23013862</v>
      </c>
      <c r="M32" s="35">
        <f t="shared" si="3"/>
        <v>-2531689</v>
      </c>
      <c r="N32" s="36">
        <f t="shared" si="5"/>
        <v>21129265</v>
      </c>
      <c r="P32" s="5">
        <f t="shared" si="6"/>
        <v>0.03</v>
      </c>
      <c r="Q32">
        <v>7</v>
      </c>
    </row>
    <row r="33" spans="1:17" x14ac:dyDescent="0.3">
      <c r="A33" s="47">
        <f>CHOOSE($Q$37,FYXX_0!C10,FYXX_.05!C10,FYXX_1!C10,FYXX_1.5!C10,FYXX_2.0!C10,FYXX_2.5!C10,FYXX_3!C10,FYXX_3.5!C10,FYXX_4!C10,#REF!)</f>
        <v>13</v>
      </c>
      <c r="B33" s="26" t="str">
        <f>VLOOKUP(A33,AEA_Names!$A$4:$B$12,2,FALSE)</f>
        <v>GREEN HILLS AEA</v>
      </c>
      <c r="C33" s="3">
        <f>CHOOSE($Q$37,FYXX_0!F10,FYXX_.05!F10,FYXX_1!F10,FYXX_1.5!F10,FYXX_2.0!F10,FYXX_2.5!F10,FYXX_3!F10,FYXX_3.5!F10,FYXX_4!F10,#REF!,#REF!)</f>
        <v>14516176</v>
      </c>
      <c r="D33" s="3">
        <f>CHOOSE($Q$37,FYXX_0!G10,FYXX_.05!G10,FYXX_1!G10,FYXX_1.5!G10,FYXX_2.0!G10,FYXX_2.5!G10,FYXX_3!G10,FYXX_3.5!G10,FYXX_4!G10,#REF!,#REF!)</f>
        <v>112752</v>
      </c>
      <c r="E33" s="3">
        <f>CHOOSE($Q$37,FYXX_0!H10,FYXX_.05!H10,FYXX_1!H10,FYXX_1.5!H10,FYXX_2.0!H10,FYXX_2.5!H10,FYXX_3!H10,FYXX_3.5!H10,FYXX_4!H10,#REF!,#REF!)</f>
        <v>2390620</v>
      </c>
      <c r="F33" s="3">
        <f>CHOOSE($Q$37,FYXX_0!I10,FYXX_.05!I10,FYXX_1!I10,FYXX_1.5!I10,FYXX_2.0!I10,FYXX_2.5!I10,FYXX_3!I10,FYXX_3.5!I10,FYXX_4!I10,#REF!,#REF!)</f>
        <v>2642842</v>
      </c>
      <c r="G33" s="3">
        <v>30000</v>
      </c>
      <c r="H33" s="3">
        <f>CHOOSE($Q$37,FYXX_0!K10,FYXX_.05!K10,FYXX_1!K10,FYXX_1.5!K10,FYXX_2.0!K10,FYXX_2.5!K10,FYXX_3!K10,FYXX_3.5!K10,FYXX_4!K10,#REF!,#REF!)</f>
        <v>1499802</v>
      </c>
      <c r="I33" s="3">
        <f>CHOOSE($Q$37,FYXX_0!L10,FYXX_.05!L10,FYXX_1!L10,FYXX_1.5!L10,FYXX_2.0!L10,FYXX_2.5!L10,FYXX_3!L10,FYXX_3.5!L10,FYXX_4!L10,#REF!,#REF!)</f>
        <v>162036</v>
      </c>
      <c r="J33" s="3">
        <f t="shared" si="4"/>
        <v>-656548</v>
      </c>
      <c r="K33" s="3">
        <f t="shared" si="7"/>
        <v>20697680</v>
      </c>
      <c r="M33" s="35">
        <f t="shared" si="3"/>
        <v>-2572196</v>
      </c>
      <c r="N33" s="36">
        <f t="shared" si="5"/>
        <v>18782032</v>
      </c>
      <c r="P33" s="5">
        <f t="shared" si="6"/>
        <v>3.5000000000000003E-2</v>
      </c>
      <c r="Q33">
        <v>8</v>
      </c>
    </row>
    <row r="34" spans="1:17" x14ac:dyDescent="0.3">
      <c r="A34" s="47">
        <f>CHOOSE($Q$37,FYXX_0!C11,FYXX_.05!C11,FYXX_1!C11,FYXX_1.5!C11,FYXX_2.0!C11,FYXX_2.5!C11,FYXX_3!C11,FYXX_3.5!C11,FYXX_4!C11,#REF!)</f>
        <v>15</v>
      </c>
      <c r="B34" s="27" t="str">
        <f>VLOOKUP(A34,AEA_Names!$A$4:$B$12,2,FALSE)</f>
        <v>GREAT PRAIRIE AEA</v>
      </c>
      <c r="C34" s="17">
        <f>CHOOSE($Q$37,FYXX_0!F11,FYXX_.05!F11,FYXX_1!F11,FYXX_1.5!F11,FYXX_2.0!F11,FYXX_2.5!F11,FYXX_3!F11,FYXX_3.5!F11,FYXX_4!F11,#REF!,#REF!)</f>
        <v>12896835</v>
      </c>
      <c r="D34" s="17">
        <f>CHOOSE($Q$37,FYXX_0!G11,FYXX_.05!G11,FYXX_1!G11,FYXX_1.5!G11,FYXX_2.0!G11,FYXX_2.5!G11,FYXX_3!G11,FYXX_3.5!G11,FYXX_4!G11,#REF!,#REF!)</f>
        <v>144504</v>
      </c>
      <c r="E34" s="17">
        <f>CHOOSE($Q$37,FYXX_0!H11,FYXX_.05!H11,FYXX_1!H11,FYXX_1.5!H11,FYXX_2.0!H11,FYXX_2.5!H11,FYXX_3!H11,FYXX_3.5!H11,FYXX_4!H11,#REF!,#REF!)</f>
        <v>2203281</v>
      </c>
      <c r="F34" s="17">
        <f>CHOOSE($Q$37,FYXX_0!I11,FYXX_.05!I11,FYXX_1!I11,FYXX_1.5!I11,FYXX_2.0!I11,FYXX_2.5!I11,FYXX_3!I11,FYXX_3.5!I11,FYXX_4!I11,#REF!,#REF!)</f>
        <v>2421937</v>
      </c>
      <c r="G34" s="17">
        <v>30000</v>
      </c>
      <c r="H34" s="17">
        <f>CHOOSE($Q$37,FYXX_0!K11,FYXX_.05!K11,FYXX_1!K11,FYXX_1.5!K11,FYXX_2.0!K11,FYXX_2.5!K11,FYXX_3!K11,FYXX_3.5!K11,FYXX_4!K11,#REF!,#REF!)</f>
        <v>1304383</v>
      </c>
      <c r="I34" s="17">
        <f>CHOOSE($Q$37,FYXX_0!L11,FYXX_.05!L11,FYXX_1!L11,FYXX_1.5!L11,FYXX_2.0!L11,FYXX_2.5!L11,FYXX_3!L11,FYXX_3.5!L11,FYXX_4!L11,#REF!,#REF!)</f>
        <v>143058</v>
      </c>
      <c r="J34" s="17">
        <f t="shared" si="4"/>
        <v>-610815</v>
      </c>
      <c r="K34" s="17">
        <f t="shared" si="7"/>
        <v>18533183</v>
      </c>
      <c r="M34" s="37">
        <f t="shared" si="3"/>
        <v>-2399597</v>
      </c>
      <c r="N34" s="38">
        <f>C34+D34+E34+F34+G34+H34+I34+M34</f>
        <v>16744401</v>
      </c>
      <c r="P34" s="5">
        <f t="shared" si="6"/>
        <v>0.04</v>
      </c>
      <c r="Q34">
        <v>9</v>
      </c>
    </row>
    <row r="35" spans="1:17" ht="9" customHeight="1" x14ac:dyDescent="0.3">
      <c r="B35" s="9"/>
      <c r="C35" s="3"/>
      <c r="D35" s="3"/>
      <c r="E35" s="3"/>
      <c r="F35" s="3"/>
      <c r="G35" s="3"/>
      <c r="H35" s="3"/>
      <c r="I35" s="3"/>
      <c r="J35" s="3"/>
      <c r="K35" s="3"/>
      <c r="M35" s="41"/>
      <c r="N35" s="42"/>
      <c r="P35" s="5"/>
    </row>
    <row r="36" spans="1:17" x14ac:dyDescent="0.3">
      <c r="B36" s="10" t="s">
        <v>25</v>
      </c>
      <c r="C36" s="11">
        <f>SUM(C26:C34)</f>
        <v>187976722</v>
      </c>
      <c r="D36" s="11">
        <f t="shared" ref="D36:K36" si="8">SUM(D26:D34)</f>
        <v>1014583</v>
      </c>
      <c r="E36" s="11">
        <f t="shared" si="8"/>
        <v>32971060</v>
      </c>
      <c r="F36" s="11">
        <f t="shared" si="8"/>
        <v>36426336</v>
      </c>
      <c r="G36" s="11">
        <f t="shared" si="8"/>
        <v>210000</v>
      </c>
      <c r="H36" s="11">
        <f t="shared" si="8"/>
        <v>18482971</v>
      </c>
      <c r="I36" s="11">
        <f t="shared" si="8"/>
        <v>2166803</v>
      </c>
      <c r="J36" s="11">
        <f t="shared" si="8"/>
        <v>-7500000</v>
      </c>
      <c r="K36" s="11">
        <f t="shared" si="8"/>
        <v>271748475</v>
      </c>
      <c r="M36" s="39">
        <f>SUM(M26:M34)</f>
        <v>-29557131</v>
      </c>
      <c r="N36" s="40">
        <f>SUM(N26:N34)</f>
        <v>249691344</v>
      </c>
    </row>
    <row r="37" spans="1:17" x14ac:dyDescent="0.3">
      <c r="P37" s="7">
        <f>C23</f>
        <v>0.02</v>
      </c>
      <c r="Q37">
        <f>VLOOKUP(P37,P26:Q35,2,FALSE)</f>
        <v>5</v>
      </c>
    </row>
    <row r="38" spans="1:17" x14ac:dyDescent="0.3">
      <c r="B38" s="25" t="s">
        <v>79</v>
      </c>
      <c r="K38" s="43"/>
    </row>
    <row r="39" spans="1:17" x14ac:dyDescent="0.3">
      <c r="B39" s="25" t="s">
        <v>65</v>
      </c>
      <c r="K39" s="43"/>
    </row>
    <row r="40" spans="1:17" x14ac:dyDescent="0.3">
      <c r="B40" s="25"/>
      <c r="K40" s="43"/>
    </row>
    <row r="41" spans="1:17" x14ac:dyDescent="0.3">
      <c r="B41" s="25" t="s">
        <v>29</v>
      </c>
    </row>
    <row r="42" spans="1:17" x14ac:dyDescent="0.3">
      <c r="B42" s="25" t="s">
        <v>78</v>
      </c>
    </row>
    <row r="44" spans="1:17" x14ac:dyDescent="0.3">
      <c r="B44" s="16" t="s">
        <v>77</v>
      </c>
    </row>
  </sheetData>
  <mergeCells count="3">
    <mergeCell ref="B1:K1"/>
    <mergeCell ref="M5:N5"/>
    <mergeCell ref="M23:N23"/>
  </mergeCells>
  <dataValidations count="1">
    <dataValidation type="list" allowBlank="1" showInputMessage="1" showErrorMessage="1" sqref="C23 C5" xr:uid="{00000000-0002-0000-0000-000000000000}">
      <formula1>$P$8:$P$17</formula1>
    </dataValidation>
  </dataValidations>
  <hyperlinks>
    <hyperlink ref="B8" location="Keystone!A1" display="Keystone!A1" xr:uid="{00000000-0004-0000-0000-000000000000}"/>
    <hyperlink ref="B26" location="Keystone!A1" display="Keystone!A1" xr:uid="{00000000-0004-0000-0000-000001000000}"/>
    <hyperlink ref="B9" location="PrairieLakes!A1" display="PrairieLakes!A1" xr:uid="{00000000-0004-0000-0000-000002000000}"/>
    <hyperlink ref="B27" location="PrairieLakes!A1" display="PrairieLakes!A1" xr:uid="{00000000-0004-0000-0000-000003000000}"/>
    <hyperlink ref="B10" location="CentralRivers!A1" display="CentralRivers!A1" xr:uid="{00000000-0004-0000-0000-000004000000}"/>
    <hyperlink ref="B28" location="CentralRivers!A1" display="CentralRivers!A1" xr:uid="{00000000-0004-0000-0000-000005000000}"/>
    <hyperlink ref="B11" location="Miss_Bend!A1" display="Miss_Bend!A1" xr:uid="{00000000-0004-0000-0000-000006000000}"/>
    <hyperlink ref="B29" location="Miss_Bend!A1" display="Miss_Bend!A1" xr:uid="{00000000-0004-0000-0000-000007000000}"/>
    <hyperlink ref="B12" location="GrantWood!A1" display="GrantWood!A1" xr:uid="{00000000-0004-0000-0000-000008000000}"/>
    <hyperlink ref="B30" location="GrantWood!A1" display="GrantWood!A1" xr:uid="{00000000-0004-0000-0000-000009000000}"/>
    <hyperlink ref="B13" location="Heartland!A1" display="Heartland!A1" xr:uid="{00000000-0004-0000-0000-00000A000000}"/>
    <hyperlink ref="B31" location="Heartland!A1" display="Heartland!A1" xr:uid="{00000000-0004-0000-0000-00000B000000}"/>
    <hyperlink ref="B14" location="Northwest!A1" display="Northwest!A1" xr:uid="{00000000-0004-0000-0000-00000C000000}"/>
    <hyperlink ref="B32" location="Northwest!A1" display="Northwest!A1" xr:uid="{00000000-0004-0000-0000-00000D000000}"/>
    <hyperlink ref="B15" location="GreenHills!A1" display="GreenHills!A1" xr:uid="{00000000-0004-0000-0000-00000E000000}"/>
    <hyperlink ref="B33" location="GreenHills!A1" display="GreenHills!A1" xr:uid="{00000000-0004-0000-0000-00000F000000}"/>
    <hyperlink ref="B34" location="GreatPrairie!A1" display="GreatPrairie!A1" xr:uid="{00000000-0004-0000-0000-000010000000}"/>
    <hyperlink ref="B16" location="GreatPrairie!A1" display="GreatPrairie!A1" xr:uid="{00000000-0004-0000-0000-000011000000}"/>
  </hyperlinks>
  <pageMargins left="0.7" right="0.7" top="0.49" bottom="0.41" header="0.3" footer="0.17"/>
  <pageSetup scale="68" orientation="landscape" r:id="rId1"/>
  <headerFooter>
    <oddFooter>&amp;LIASB:  &amp;F 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8"/>
  <sheetViews>
    <sheetView workbookViewId="0">
      <selection activeCell="I21" sqref="I21"/>
    </sheetView>
  </sheetViews>
  <sheetFormatPr defaultRowHeight="14.4" x14ac:dyDescent="0.3"/>
  <cols>
    <col min="1" max="1" width="4.109375" customWidth="1"/>
    <col min="2" max="2" width="4.88671875" bestFit="1" customWidth="1"/>
    <col min="3" max="3" width="4.44140625" bestFit="1" customWidth="1"/>
    <col min="4" max="4" width="8.5546875" bestFit="1" customWidth="1"/>
    <col min="5" max="5" width="8.6640625" bestFit="1" customWidth="1"/>
    <col min="6" max="6" width="13.109375" bestFit="1" customWidth="1"/>
    <col min="7" max="7" width="11" bestFit="1" customWidth="1"/>
    <col min="8" max="9" width="12" bestFit="1" customWidth="1"/>
    <col min="10" max="10" width="9.33203125" bestFit="1" customWidth="1"/>
    <col min="11" max="11" width="12" bestFit="1" customWidth="1"/>
    <col min="12" max="13" width="11" bestFit="1" customWidth="1"/>
    <col min="14" max="14" width="10.44140625" bestFit="1" customWidth="1"/>
    <col min="15" max="15" width="13.109375" bestFit="1" customWidth="1"/>
    <col min="17" max="17" width="12" bestFit="1" customWidth="1"/>
  </cols>
  <sheetData>
    <row r="1" spans="2:17" ht="15" thickBot="1" x14ac:dyDescent="0.35"/>
    <row r="2" spans="2:17" ht="27.6" x14ac:dyDescent="0.3">
      <c r="B2" s="44" t="s">
        <v>0</v>
      </c>
      <c r="C2" s="45" t="s">
        <v>13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12</v>
      </c>
    </row>
    <row r="3" spans="2:17" x14ac:dyDescent="0.3">
      <c r="B3" s="46">
        <v>1</v>
      </c>
      <c r="C3" s="1">
        <v>1</v>
      </c>
      <c r="D3" s="1">
        <v>0</v>
      </c>
      <c r="E3" s="1">
        <v>21</v>
      </c>
      <c r="F3" s="1">
        <v>11586256</v>
      </c>
      <c r="G3" s="1">
        <v>11485</v>
      </c>
      <c r="H3" s="1">
        <v>2039214</v>
      </c>
      <c r="I3" s="1">
        <v>2270842</v>
      </c>
      <c r="J3" s="1">
        <v>0</v>
      </c>
      <c r="K3" s="1">
        <v>1149585</v>
      </c>
      <c r="L3" s="1">
        <v>125040</v>
      </c>
      <c r="M3" s="1">
        <v>531577</v>
      </c>
      <c r="N3" s="1">
        <v>32200.14</v>
      </c>
      <c r="O3" s="1">
        <v>31557</v>
      </c>
    </row>
    <row r="4" spans="2:17" x14ac:dyDescent="0.3">
      <c r="B4" s="46">
        <v>2</v>
      </c>
      <c r="C4" s="1">
        <v>5</v>
      </c>
      <c r="D4" s="1">
        <v>0</v>
      </c>
      <c r="E4" s="1">
        <v>36</v>
      </c>
      <c r="F4" s="1">
        <v>11969688</v>
      </c>
      <c r="G4" s="1">
        <v>98711</v>
      </c>
      <c r="H4" s="1">
        <v>2061924</v>
      </c>
      <c r="I4" s="1">
        <v>2308275</v>
      </c>
      <c r="J4" s="1">
        <v>0</v>
      </c>
      <c r="K4" s="1">
        <v>1272633</v>
      </c>
      <c r="L4" s="1">
        <v>151194</v>
      </c>
      <c r="M4" s="1">
        <v>565217</v>
      </c>
      <c r="N4" s="1">
        <v>33663.39</v>
      </c>
      <c r="O4" s="1">
        <v>31869</v>
      </c>
    </row>
    <row r="5" spans="2:17" x14ac:dyDescent="0.3">
      <c r="B5" s="46">
        <v>3</v>
      </c>
      <c r="C5" s="1">
        <v>7</v>
      </c>
      <c r="D5" s="1">
        <v>0</v>
      </c>
      <c r="E5" s="1">
        <v>53</v>
      </c>
      <c r="F5" s="1">
        <v>24514681</v>
      </c>
      <c r="G5" s="1">
        <v>84897</v>
      </c>
      <c r="H5" s="1">
        <v>4155311</v>
      </c>
      <c r="I5" s="1">
        <v>4630942</v>
      </c>
      <c r="J5" s="1">
        <v>0</v>
      </c>
      <c r="K5" s="1">
        <v>3017009</v>
      </c>
      <c r="L5" s="1">
        <v>347405</v>
      </c>
      <c r="M5" s="1">
        <v>1049026</v>
      </c>
      <c r="N5" s="1">
        <v>70254.710000000006</v>
      </c>
      <c r="O5" s="1">
        <v>64274</v>
      </c>
    </row>
    <row r="6" spans="2:17" x14ac:dyDescent="0.3">
      <c r="B6" s="46">
        <v>4</v>
      </c>
      <c r="C6" s="1">
        <v>9</v>
      </c>
      <c r="D6" s="1">
        <v>0</v>
      </c>
      <c r="E6" s="1">
        <v>21</v>
      </c>
      <c r="F6" s="1">
        <v>17664256</v>
      </c>
      <c r="G6" s="1">
        <v>45906</v>
      </c>
      <c r="H6" s="1">
        <v>3069478</v>
      </c>
      <c r="I6" s="1">
        <v>3355090</v>
      </c>
      <c r="J6" s="1">
        <v>0</v>
      </c>
      <c r="K6" s="1">
        <v>1630720</v>
      </c>
      <c r="L6" s="1">
        <v>191280</v>
      </c>
      <c r="M6" s="1">
        <v>763328</v>
      </c>
      <c r="N6" s="1">
        <v>50967.33</v>
      </c>
      <c r="O6" s="1">
        <v>47841</v>
      </c>
    </row>
    <row r="7" spans="2:17" x14ac:dyDescent="0.3">
      <c r="B7" s="46">
        <v>5</v>
      </c>
      <c r="C7" s="1">
        <v>10</v>
      </c>
      <c r="D7" s="1">
        <v>0</v>
      </c>
      <c r="E7" s="1">
        <v>32</v>
      </c>
      <c r="F7" s="1">
        <v>26742711</v>
      </c>
      <c r="G7" s="1">
        <v>77869</v>
      </c>
      <c r="H7" s="1">
        <v>4761225</v>
      </c>
      <c r="I7" s="1">
        <v>5234087</v>
      </c>
      <c r="J7" s="1">
        <v>0</v>
      </c>
      <c r="K7" s="1">
        <v>2540024</v>
      </c>
      <c r="L7" s="1">
        <v>295764</v>
      </c>
      <c r="M7" s="1">
        <v>969435</v>
      </c>
      <c r="N7" s="1">
        <v>77591.58</v>
      </c>
      <c r="O7" s="1">
        <v>74001</v>
      </c>
    </row>
    <row r="8" spans="2:17" x14ac:dyDescent="0.3">
      <c r="B8" s="46">
        <v>6</v>
      </c>
      <c r="C8" s="1">
        <v>11</v>
      </c>
      <c r="D8" s="1">
        <v>0</v>
      </c>
      <c r="E8" s="1">
        <v>53</v>
      </c>
      <c r="F8" s="1">
        <v>54528241</v>
      </c>
      <c r="G8" s="1">
        <v>30788</v>
      </c>
      <c r="H8" s="1">
        <v>9806393</v>
      </c>
      <c r="I8" s="1">
        <v>10772985</v>
      </c>
      <c r="J8" s="1">
        <v>0</v>
      </c>
      <c r="K8" s="1">
        <v>4677674</v>
      </c>
      <c r="L8" s="1">
        <v>584927</v>
      </c>
      <c r="M8" s="1">
        <v>1717436</v>
      </c>
      <c r="N8" s="1">
        <v>161536.45000000001</v>
      </c>
      <c r="O8" s="1">
        <v>152700</v>
      </c>
    </row>
    <row r="9" spans="2:17" x14ac:dyDescent="0.3">
      <c r="B9" s="46">
        <v>7</v>
      </c>
      <c r="C9" s="1">
        <v>12</v>
      </c>
      <c r="D9" s="1">
        <v>0</v>
      </c>
      <c r="E9" s="1">
        <v>34</v>
      </c>
      <c r="F9" s="1">
        <v>15919664</v>
      </c>
      <c r="G9" s="1">
        <v>54539</v>
      </c>
      <c r="H9" s="1">
        <v>2903955</v>
      </c>
      <c r="I9" s="1">
        <v>3249931</v>
      </c>
      <c r="J9" s="1">
        <v>0</v>
      </c>
      <c r="K9" s="1">
        <v>1608569</v>
      </c>
      <c r="L9" s="1">
        <v>191635</v>
      </c>
      <c r="M9" s="1">
        <v>642407</v>
      </c>
      <c r="N9" s="1">
        <v>45200.63</v>
      </c>
      <c r="O9" s="1">
        <v>44932</v>
      </c>
    </row>
    <row r="10" spans="2:17" x14ac:dyDescent="0.3">
      <c r="B10" s="46">
        <v>8</v>
      </c>
      <c r="C10" s="1">
        <v>13</v>
      </c>
      <c r="D10" s="1">
        <v>0</v>
      </c>
      <c r="E10" s="1">
        <v>43</v>
      </c>
      <c r="F10" s="1">
        <v>14729691</v>
      </c>
      <c r="G10" s="1">
        <v>79856</v>
      </c>
      <c r="H10" s="1">
        <v>2426058</v>
      </c>
      <c r="I10" s="1">
        <v>2681675</v>
      </c>
      <c r="J10" s="1">
        <v>0</v>
      </c>
      <c r="K10" s="1">
        <v>1518791</v>
      </c>
      <c r="L10" s="1">
        <v>164283</v>
      </c>
      <c r="M10" s="1">
        <v>652688</v>
      </c>
      <c r="N10" s="1">
        <v>42618.17</v>
      </c>
      <c r="O10" s="1">
        <v>37701</v>
      </c>
    </row>
    <row r="11" spans="2:17" x14ac:dyDescent="0.3">
      <c r="B11" s="46">
        <v>9</v>
      </c>
      <c r="C11" s="1">
        <v>15</v>
      </c>
      <c r="D11" s="1">
        <v>0</v>
      </c>
      <c r="E11" s="1">
        <v>32</v>
      </c>
      <c r="F11" s="1">
        <v>13088013</v>
      </c>
      <c r="G11" s="1">
        <v>90011</v>
      </c>
      <c r="H11" s="1">
        <v>2235958</v>
      </c>
      <c r="I11" s="1">
        <v>2457747</v>
      </c>
      <c r="J11" s="1">
        <v>0</v>
      </c>
      <c r="K11" s="1">
        <v>1319290</v>
      </c>
      <c r="L11" s="1">
        <v>144881</v>
      </c>
      <c r="M11" s="1">
        <v>608889</v>
      </c>
      <c r="N11" s="1">
        <v>38159.699999999997</v>
      </c>
      <c r="O11" s="1">
        <v>34763</v>
      </c>
    </row>
    <row r="13" spans="2:17" x14ac:dyDescent="0.3">
      <c r="F13">
        <f>SUM(F2:F11)</f>
        <v>190743201</v>
      </c>
      <c r="G13">
        <f t="shared" ref="G13:O13" si="0">SUM(G2:G11)</f>
        <v>574062</v>
      </c>
      <c r="H13">
        <f t="shared" si="0"/>
        <v>33459516</v>
      </c>
      <c r="I13">
        <f t="shared" si="0"/>
        <v>36961574</v>
      </c>
      <c r="J13">
        <f t="shared" si="0"/>
        <v>0</v>
      </c>
      <c r="K13">
        <f t="shared" si="0"/>
        <v>18734295</v>
      </c>
      <c r="L13">
        <f t="shared" si="0"/>
        <v>2196409</v>
      </c>
      <c r="M13">
        <f t="shared" si="0"/>
        <v>7500003</v>
      </c>
      <c r="N13">
        <f t="shared" si="0"/>
        <v>552192.1</v>
      </c>
      <c r="O13">
        <f t="shared" si="0"/>
        <v>519638</v>
      </c>
      <c r="Q13">
        <f>F13+G13+H13+I13+J13+K13+L13-M13</f>
        <v>275169054</v>
      </c>
    </row>
    <row r="15" spans="2:17" x14ac:dyDescent="0.3">
      <c r="M15">
        <f>FYXX_0!M15</f>
        <v>29557131</v>
      </c>
      <c r="O15">
        <f>(SUM(F13:L13))-M13</f>
        <v>275169054</v>
      </c>
      <c r="Q15">
        <f>F13+G13+H13+I13+J13+K13+L13-M15</f>
        <v>253111926</v>
      </c>
    </row>
    <row r="16" spans="2:17" x14ac:dyDescent="0.3">
      <c r="O16">
        <f>O15-Driver!K18</f>
        <v>2244775</v>
      </c>
    </row>
    <row r="17" spans="1:17" x14ac:dyDescent="0.3">
      <c r="D17" s="58" t="s">
        <v>63</v>
      </c>
      <c r="E17" s="58"/>
      <c r="F17" s="57">
        <f>F13-FY_2024!F14</f>
        <v>5458175</v>
      </c>
      <c r="G17" s="57">
        <f>G13-FY_2024!G14</f>
        <v>-4878</v>
      </c>
      <c r="H17" s="57">
        <f>H13-FY_2024!H14</f>
        <v>1114478</v>
      </c>
      <c r="I17" s="57">
        <f>I13-FY_2024!I14</f>
        <v>1226404</v>
      </c>
      <c r="J17" s="57">
        <f>J13-FY_2024!J14</f>
        <v>-180006</v>
      </c>
      <c r="K17" s="57">
        <f>K13-FY_2024!K14</f>
        <v>573595</v>
      </c>
      <c r="L17" s="57">
        <f>L13-FY_2024!L14</f>
        <v>67144</v>
      </c>
      <c r="M17" s="57">
        <f>M13-FY_2024!M14</f>
        <v>-51614259</v>
      </c>
      <c r="N17" s="55">
        <f>N13-FY_2024!N14</f>
        <v>-2935.1999999999534</v>
      </c>
      <c r="O17" s="55">
        <f>O13-FY_2024!O14</f>
        <v>-292</v>
      </c>
      <c r="P17" s="56"/>
      <c r="Q17" s="57">
        <f>Q15-FY_2024!Q14</f>
        <v>8254912</v>
      </c>
    </row>
    <row r="18" spans="1:17" x14ac:dyDescent="0.3">
      <c r="A18" t="s">
        <v>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8"/>
  <sheetViews>
    <sheetView workbookViewId="0">
      <selection activeCell="K21" sqref="K21"/>
    </sheetView>
  </sheetViews>
  <sheetFormatPr defaultRowHeight="14.4" x14ac:dyDescent="0.3"/>
  <cols>
    <col min="1" max="1" width="5.33203125" customWidth="1"/>
    <col min="2" max="2" width="4.88671875" bestFit="1" customWidth="1"/>
    <col min="3" max="3" width="4.44140625" bestFit="1" customWidth="1"/>
    <col min="4" max="4" width="8.5546875" bestFit="1" customWidth="1"/>
    <col min="5" max="5" width="8.6640625" bestFit="1" customWidth="1"/>
    <col min="6" max="6" width="13.109375" bestFit="1" customWidth="1"/>
    <col min="7" max="7" width="11" bestFit="1" customWidth="1"/>
    <col min="8" max="9" width="12" bestFit="1" customWidth="1"/>
    <col min="10" max="10" width="9.33203125" bestFit="1" customWidth="1"/>
    <col min="11" max="11" width="12" bestFit="1" customWidth="1"/>
    <col min="12" max="13" width="11" bestFit="1" customWidth="1"/>
    <col min="14" max="14" width="10.44140625" bestFit="1" customWidth="1"/>
    <col min="15" max="15" width="13.109375" bestFit="1" customWidth="1"/>
    <col min="17" max="17" width="12" bestFit="1" customWidth="1"/>
  </cols>
  <sheetData>
    <row r="1" spans="2:17" ht="15" thickBot="1" x14ac:dyDescent="0.35"/>
    <row r="2" spans="2:17" ht="27.6" x14ac:dyDescent="0.3">
      <c r="B2" s="44" t="s">
        <v>0</v>
      </c>
      <c r="C2" s="45" t="s">
        <v>13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12</v>
      </c>
    </row>
    <row r="3" spans="2:17" x14ac:dyDescent="0.3">
      <c r="B3" s="46">
        <v>1</v>
      </c>
      <c r="C3" s="1">
        <v>1</v>
      </c>
      <c r="D3" s="1">
        <v>0</v>
      </c>
      <c r="E3" s="1">
        <v>21</v>
      </c>
      <c r="F3" s="1">
        <v>11639707</v>
      </c>
      <c r="G3" s="1">
        <v>10256</v>
      </c>
      <c r="H3" s="1">
        <v>2048994</v>
      </c>
      <c r="I3" s="1">
        <v>2281888</v>
      </c>
      <c r="J3" s="1">
        <v>0</v>
      </c>
      <c r="K3" s="1">
        <v>1155003</v>
      </c>
      <c r="L3" s="1">
        <v>125680</v>
      </c>
      <c r="M3" s="1">
        <v>531577</v>
      </c>
      <c r="N3" s="1">
        <v>32200.14</v>
      </c>
      <c r="O3" s="1">
        <v>31557</v>
      </c>
    </row>
    <row r="4" spans="2:17" x14ac:dyDescent="0.3">
      <c r="B4" s="46">
        <v>2</v>
      </c>
      <c r="C4" s="1">
        <v>5</v>
      </c>
      <c r="D4" s="1">
        <v>0</v>
      </c>
      <c r="E4" s="1">
        <v>36</v>
      </c>
      <c r="F4" s="1">
        <v>12025571</v>
      </c>
      <c r="G4" s="1">
        <v>83832</v>
      </c>
      <c r="H4" s="1">
        <v>2071805</v>
      </c>
      <c r="I4" s="1">
        <v>2319425</v>
      </c>
      <c r="J4" s="1">
        <v>0</v>
      </c>
      <c r="K4" s="1">
        <v>1277172</v>
      </c>
      <c r="L4" s="1">
        <v>151721</v>
      </c>
      <c r="M4" s="1">
        <v>565217</v>
      </c>
      <c r="N4" s="1">
        <v>33663.39</v>
      </c>
      <c r="O4" s="1">
        <v>31869</v>
      </c>
    </row>
    <row r="5" spans="2:17" x14ac:dyDescent="0.3">
      <c r="B5" s="46">
        <v>3</v>
      </c>
      <c r="C5" s="1">
        <v>7</v>
      </c>
      <c r="D5" s="1">
        <v>0</v>
      </c>
      <c r="E5" s="1">
        <v>53</v>
      </c>
      <c r="F5" s="1">
        <v>24631300</v>
      </c>
      <c r="G5" s="1">
        <v>71152</v>
      </c>
      <c r="H5" s="1">
        <v>4175240</v>
      </c>
      <c r="I5" s="1">
        <v>4653436</v>
      </c>
      <c r="J5" s="1">
        <v>0</v>
      </c>
      <c r="K5" s="1">
        <v>3028077</v>
      </c>
      <c r="L5" s="1">
        <v>348707</v>
      </c>
      <c r="M5" s="1">
        <v>1049026</v>
      </c>
      <c r="N5" s="1">
        <v>70254.710000000006</v>
      </c>
      <c r="O5" s="1">
        <v>64274</v>
      </c>
    </row>
    <row r="6" spans="2:17" x14ac:dyDescent="0.3">
      <c r="B6" s="46">
        <v>4</v>
      </c>
      <c r="C6" s="1">
        <v>9</v>
      </c>
      <c r="D6" s="1">
        <v>0</v>
      </c>
      <c r="E6" s="1">
        <v>21</v>
      </c>
      <c r="F6" s="1">
        <v>17748861</v>
      </c>
      <c r="G6" s="1">
        <v>41283</v>
      </c>
      <c r="H6" s="1">
        <v>3084308</v>
      </c>
      <c r="I6" s="1">
        <v>3371834</v>
      </c>
      <c r="J6" s="1">
        <v>0</v>
      </c>
      <c r="K6" s="1">
        <v>1639156</v>
      </c>
      <c r="L6" s="1">
        <v>192273</v>
      </c>
      <c r="M6" s="1">
        <v>763328</v>
      </c>
      <c r="N6" s="1">
        <v>50967.33</v>
      </c>
      <c r="O6" s="1">
        <v>47841</v>
      </c>
    </row>
    <row r="7" spans="2:17" x14ac:dyDescent="0.3">
      <c r="B7" s="46">
        <v>5</v>
      </c>
      <c r="C7" s="1">
        <v>10</v>
      </c>
      <c r="D7" s="1">
        <v>0</v>
      </c>
      <c r="E7" s="1">
        <v>32</v>
      </c>
      <c r="F7" s="1">
        <v>26871515</v>
      </c>
      <c r="G7" s="1">
        <v>66331</v>
      </c>
      <c r="H7" s="1">
        <v>4784168</v>
      </c>
      <c r="I7" s="1">
        <v>5259991</v>
      </c>
      <c r="J7" s="1">
        <v>0</v>
      </c>
      <c r="K7" s="1">
        <v>2552615</v>
      </c>
      <c r="L7" s="1">
        <v>297247</v>
      </c>
      <c r="M7" s="1">
        <v>969435</v>
      </c>
      <c r="N7" s="1">
        <v>77591.58</v>
      </c>
      <c r="O7" s="1">
        <v>74001</v>
      </c>
    </row>
    <row r="8" spans="2:17" x14ac:dyDescent="0.3">
      <c r="B8" s="46">
        <v>6</v>
      </c>
      <c r="C8" s="1">
        <v>11</v>
      </c>
      <c r="D8" s="1">
        <v>0</v>
      </c>
      <c r="E8" s="1">
        <v>53</v>
      </c>
      <c r="F8" s="1">
        <v>54796392</v>
      </c>
      <c r="G8" s="1">
        <v>25500</v>
      </c>
      <c r="H8" s="1">
        <v>9853728</v>
      </c>
      <c r="I8" s="1">
        <v>10826435</v>
      </c>
      <c r="J8" s="1">
        <v>0</v>
      </c>
      <c r="K8" s="1">
        <v>4704895</v>
      </c>
      <c r="L8" s="1">
        <v>588129</v>
      </c>
      <c r="M8" s="1">
        <v>1717436</v>
      </c>
      <c r="N8" s="1">
        <v>161536.45000000001</v>
      </c>
      <c r="O8" s="1">
        <v>152700</v>
      </c>
    </row>
    <row r="9" spans="2:17" x14ac:dyDescent="0.3">
      <c r="B9" s="46">
        <v>7</v>
      </c>
      <c r="C9" s="1">
        <v>12</v>
      </c>
      <c r="D9" s="1">
        <v>0</v>
      </c>
      <c r="E9" s="1">
        <v>34</v>
      </c>
      <c r="F9" s="1">
        <v>15994695</v>
      </c>
      <c r="G9" s="1">
        <v>43339</v>
      </c>
      <c r="H9" s="1">
        <v>2917887</v>
      </c>
      <c r="I9" s="1">
        <v>3265659</v>
      </c>
      <c r="J9" s="1">
        <v>0</v>
      </c>
      <c r="K9" s="1">
        <v>1615192</v>
      </c>
      <c r="L9" s="1">
        <v>192407</v>
      </c>
      <c r="M9" s="1">
        <v>642407</v>
      </c>
      <c r="N9" s="1">
        <v>45200.63</v>
      </c>
      <c r="O9" s="1">
        <v>44932</v>
      </c>
    </row>
    <row r="10" spans="2:17" x14ac:dyDescent="0.3">
      <c r="B10" s="46">
        <v>8</v>
      </c>
      <c r="C10" s="1">
        <v>13</v>
      </c>
      <c r="D10" s="1">
        <v>0</v>
      </c>
      <c r="E10" s="1">
        <v>43</v>
      </c>
      <c r="F10" s="1">
        <v>14800436</v>
      </c>
      <c r="G10" s="1">
        <v>70381</v>
      </c>
      <c r="H10" s="1">
        <v>2437747</v>
      </c>
      <c r="I10" s="1">
        <v>2694869</v>
      </c>
      <c r="J10" s="1">
        <v>0</v>
      </c>
      <c r="K10" s="1">
        <v>1525325</v>
      </c>
      <c r="L10" s="1">
        <v>165071</v>
      </c>
      <c r="M10" s="1">
        <v>652688</v>
      </c>
      <c r="N10" s="1">
        <v>42618.17</v>
      </c>
      <c r="O10" s="1">
        <v>37701</v>
      </c>
    </row>
    <row r="11" spans="2:17" x14ac:dyDescent="0.3">
      <c r="B11" s="46">
        <v>9</v>
      </c>
      <c r="C11" s="1">
        <v>15</v>
      </c>
      <c r="D11" s="1">
        <v>0</v>
      </c>
      <c r="E11" s="1">
        <v>32</v>
      </c>
      <c r="F11" s="1">
        <v>13151356</v>
      </c>
      <c r="G11" s="1">
        <v>79282</v>
      </c>
      <c r="H11" s="1">
        <v>2246734</v>
      </c>
      <c r="I11" s="1">
        <v>2469912</v>
      </c>
      <c r="J11" s="1">
        <v>0</v>
      </c>
      <c r="K11" s="1">
        <v>1324971</v>
      </c>
      <c r="L11" s="1">
        <v>145563</v>
      </c>
      <c r="M11" s="1">
        <v>608889</v>
      </c>
      <c r="N11" s="1">
        <v>38159.699999999997</v>
      </c>
      <c r="O11" s="1">
        <v>34763</v>
      </c>
    </row>
    <row r="13" spans="2:17" x14ac:dyDescent="0.3">
      <c r="F13">
        <f>SUM(F2:F11)</f>
        <v>191659833</v>
      </c>
      <c r="G13">
        <f t="shared" ref="G13:O13" si="0">SUM(G2:G11)</f>
        <v>491356</v>
      </c>
      <c r="H13">
        <f t="shared" si="0"/>
        <v>33620611</v>
      </c>
      <c r="I13">
        <f t="shared" si="0"/>
        <v>37143449</v>
      </c>
      <c r="J13">
        <f t="shared" si="0"/>
        <v>0</v>
      </c>
      <c r="K13">
        <f t="shared" si="0"/>
        <v>18822406</v>
      </c>
      <c r="L13">
        <f t="shared" si="0"/>
        <v>2206798</v>
      </c>
      <c r="M13">
        <f t="shared" si="0"/>
        <v>7500003</v>
      </c>
      <c r="N13">
        <f t="shared" si="0"/>
        <v>552192.1</v>
      </c>
      <c r="O13">
        <f t="shared" si="0"/>
        <v>519638</v>
      </c>
      <c r="Q13">
        <f>F13+G13+H13+I13+J13+K13+L13-M13</f>
        <v>276444450</v>
      </c>
    </row>
    <row r="15" spans="2:17" x14ac:dyDescent="0.3">
      <c r="M15">
        <f>FYXX_0!M15</f>
        <v>29557131</v>
      </c>
      <c r="O15">
        <f>(SUM(F13:L13))-M13</f>
        <v>276444450</v>
      </c>
      <c r="Q15">
        <f>F13+G13+H13+I13+J13+K13+L13-M15</f>
        <v>254387322</v>
      </c>
    </row>
    <row r="16" spans="2:17" x14ac:dyDescent="0.3">
      <c r="O16">
        <f>O15-Driver!K18</f>
        <v>3520171</v>
      </c>
    </row>
    <row r="17" spans="1:17" x14ac:dyDescent="0.3">
      <c r="D17" s="58" t="s">
        <v>63</v>
      </c>
      <c r="E17" s="58"/>
      <c r="F17" s="57">
        <f>F13-FY_2024!F14</f>
        <v>6374807</v>
      </c>
      <c r="G17" s="57">
        <f>G13-FY_2024!G14</f>
        <v>-87584</v>
      </c>
      <c r="H17" s="57">
        <f>H13-FY_2024!H14</f>
        <v>1275573</v>
      </c>
      <c r="I17" s="57">
        <f>I13-FY_2024!I14</f>
        <v>1408279</v>
      </c>
      <c r="J17" s="57">
        <f>J13-FY_2024!J14</f>
        <v>-180006</v>
      </c>
      <c r="K17" s="57">
        <f>K13-FY_2024!K14</f>
        <v>661706</v>
      </c>
      <c r="L17" s="57">
        <f>L13-FY_2024!L14</f>
        <v>77533</v>
      </c>
      <c r="M17" s="57">
        <f>M13-FY_2024!M14</f>
        <v>-51614259</v>
      </c>
      <c r="N17" s="55">
        <f>N13-FY_2024!N14</f>
        <v>-2935.1999999999534</v>
      </c>
      <c r="O17" s="55">
        <f>O13-FY_2024!O14</f>
        <v>-292</v>
      </c>
      <c r="P17" s="56"/>
      <c r="Q17" s="57">
        <f>Q15-FY_2024!Q14</f>
        <v>9530308</v>
      </c>
    </row>
    <row r="18" spans="1:17" x14ac:dyDescent="0.3">
      <c r="A18" t="s">
        <v>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B12"/>
  <sheetViews>
    <sheetView workbookViewId="0">
      <selection activeCell="E8" sqref="E8"/>
    </sheetView>
  </sheetViews>
  <sheetFormatPr defaultRowHeight="14.4" x14ac:dyDescent="0.3"/>
  <cols>
    <col min="2" max="2" width="20.88671875" bestFit="1" customWidth="1"/>
  </cols>
  <sheetData>
    <row r="3" spans="1:2" x14ac:dyDescent="0.3">
      <c r="A3" t="s">
        <v>13</v>
      </c>
      <c r="B3" t="s">
        <v>14</v>
      </c>
    </row>
    <row r="4" spans="1:2" x14ac:dyDescent="0.3">
      <c r="A4">
        <v>1</v>
      </c>
      <c r="B4" t="s">
        <v>55</v>
      </c>
    </row>
    <row r="5" spans="1:2" x14ac:dyDescent="0.3">
      <c r="A5">
        <v>5</v>
      </c>
      <c r="B5" t="s">
        <v>56</v>
      </c>
    </row>
    <row r="6" spans="1:2" x14ac:dyDescent="0.3">
      <c r="A6">
        <v>7</v>
      </c>
      <c r="B6" t="s">
        <v>57</v>
      </c>
    </row>
    <row r="7" spans="1:2" x14ac:dyDescent="0.3">
      <c r="A7">
        <v>9</v>
      </c>
      <c r="B7" t="s">
        <v>58</v>
      </c>
    </row>
    <row r="8" spans="1:2" x14ac:dyDescent="0.3">
      <c r="A8">
        <v>10</v>
      </c>
      <c r="B8" t="s">
        <v>59</v>
      </c>
    </row>
    <row r="9" spans="1:2" x14ac:dyDescent="0.3">
      <c r="A9">
        <v>11</v>
      </c>
      <c r="B9" t="s">
        <v>60</v>
      </c>
    </row>
    <row r="10" spans="1:2" x14ac:dyDescent="0.3">
      <c r="A10">
        <v>12</v>
      </c>
      <c r="B10" t="s">
        <v>15</v>
      </c>
    </row>
    <row r="11" spans="1:2" x14ac:dyDescent="0.3">
      <c r="A11">
        <v>13</v>
      </c>
      <c r="B11" t="s">
        <v>61</v>
      </c>
    </row>
    <row r="12" spans="1:2" x14ac:dyDescent="0.3">
      <c r="A12">
        <v>15</v>
      </c>
      <c r="B12" t="s">
        <v>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26"/>
  <sheetViews>
    <sheetView topLeftCell="B1" workbookViewId="0">
      <selection activeCell="R23" sqref="R23"/>
    </sheetView>
  </sheetViews>
  <sheetFormatPr defaultRowHeight="14.4" x14ac:dyDescent="0.3"/>
  <cols>
    <col min="6" max="6" width="10" bestFit="1" customWidth="1"/>
    <col min="7" max="7" width="13.6640625" bestFit="1" customWidth="1"/>
    <col min="17" max="17" width="10" bestFit="1" customWidth="1"/>
  </cols>
  <sheetData>
    <row r="1" spans="2:19" ht="15" thickBot="1" x14ac:dyDescent="0.35">
      <c r="B1" s="48" t="s">
        <v>33</v>
      </c>
      <c r="C1" s="48"/>
      <c r="S1" s="4">
        <v>1.014</v>
      </c>
    </row>
    <row r="2" spans="2:19" x14ac:dyDescent="0.3">
      <c r="B2" s="44" t="s">
        <v>0</v>
      </c>
      <c r="C2" s="45" t="s">
        <v>13</v>
      </c>
      <c r="D2" s="45" t="s">
        <v>1</v>
      </c>
      <c r="E2" s="45" t="s">
        <v>2</v>
      </c>
      <c r="F2" s="45" t="s">
        <v>43</v>
      </c>
      <c r="G2" s="45" t="s">
        <v>44</v>
      </c>
      <c r="H2" s="45" t="s">
        <v>45</v>
      </c>
      <c r="I2" s="45" t="s">
        <v>46</v>
      </c>
      <c r="J2" s="45" t="s">
        <v>47</v>
      </c>
      <c r="K2" s="45" t="s">
        <v>48</v>
      </c>
      <c r="L2" s="45" t="s">
        <v>49</v>
      </c>
      <c r="M2" s="45" t="s">
        <v>50</v>
      </c>
      <c r="N2" s="45" t="s">
        <v>51</v>
      </c>
      <c r="O2" s="45" t="s">
        <v>52</v>
      </c>
      <c r="P2" s="2"/>
    </row>
    <row r="3" spans="2:19" x14ac:dyDescent="0.3">
      <c r="B3" s="46">
        <v>1</v>
      </c>
      <c r="C3" s="1">
        <v>1</v>
      </c>
      <c r="D3" s="1">
        <v>0</v>
      </c>
      <c r="E3" s="1">
        <v>21</v>
      </c>
      <c r="F3" s="1">
        <v>11216201</v>
      </c>
      <c r="G3" s="1">
        <v>10552</v>
      </c>
      <c r="H3" s="1">
        <v>1969358</v>
      </c>
      <c r="I3" s="1">
        <v>2193922</v>
      </c>
      <c r="J3" s="1">
        <v>30001</v>
      </c>
      <c r="K3" s="1">
        <v>1110571</v>
      </c>
      <c r="L3" s="1">
        <v>120492</v>
      </c>
      <c r="M3" s="1">
        <v>2094923</v>
      </c>
      <c r="N3" s="1">
        <v>32217.51</v>
      </c>
      <c r="O3" s="1">
        <v>31540</v>
      </c>
      <c r="P3" s="1"/>
      <c r="R3">
        <f>F3+G3</f>
        <v>11226753</v>
      </c>
      <c r="S3">
        <f>R3*$S$1</f>
        <v>11383927.541999999</v>
      </c>
    </row>
    <row r="4" spans="2:19" x14ac:dyDescent="0.3">
      <c r="B4" s="46">
        <v>2</v>
      </c>
      <c r="C4" s="1">
        <v>5</v>
      </c>
      <c r="D4" s="1">
        <v>0</v>
      </c>
      <c r="E4" s="1">
        <v>36</v>
      </c>
      <c r="F4" s="1">
        <v>11733799</v>
      </c>
      <c r="G4" s="1">
        <v>73537</v>
      </c>
      <c r="H4" s="1">
        <v>1999952</v>
      </c>
      <c r="I4" s="1">
        <v>2240189</v>
      </c>
      <c r="J4" s="1">
        <v>0</v>
      </c>
      <c r="K4" s="1">
        <v>1244494</v>
      </c>
      <c r="L4" s="1">
        <v>147912</v>
      </c>
      <c r="M4" s="1">
        <v>2227501</v>
      </c>
      <c r="N4" s="1">
        <v>34120.79</v>
      </c>
      <c r="O4" s="1">
        <v>31989</v>
      </c>
      <c r="P4" s="1"/>
      <c r="R4">
        <f t="shared" ref="R4:R11" si="0">F4+G4</f>
        <v>11807336</v>
      </c>
      <c r="S4">
        <f t="shared" ref="S4:S11" si="1">R4*$S$1</f>
        <v>11972638.704</v>
      </c>
    </row>
    <row r="5" spans="2:19" x14ac:dyDescent="0.3">
      <c r="B5" s="46">
        <v>3</v>
      </c>
      <c r="C5" s="1">
        <v>7</v>
      </c>
      <c r="D5" s="1">
        <v>0</v>
      </c>
      <c r="E5" s="1">
        <v>53</v>
      </c>
      <c r="F5" s="1">
        <v>23813783</v>
      </c>
      <c r="G5" s="1">
        <v>120712</v>
      </c>
      <c r="H5" s="1">
        <v>4021446</v>
      </c>
      <c r="I5" s="1">
        <v>4483647</v>
      </c>
      <c r="J5" s="1">
        <v>30001</v>
      </c>
      <c r="K5" s="1">
        <v>2947977</v>
      </c>
      <c r="L5" s="1">
        <v>339319</v>
      </c>
      <c r="M5" s="1">
        <v>4134155</v>
      </c>
      <c r="N5" s="1">
        <v>70609.570000000007</v>
      </c>
      <c r="O5" s="1">
        <v>64374</v>
      </c>
      <c r="P5" s="1"/>
      <c r="R5">
        <f t="shared" si="0"/>
        <v>23934495</v>
      </c>
      <c r="S5">
        <f t="shared" si="1"/>
        <v>24269577.93</v>
      </c>
    </row>
    <row r="6" spans="2:19" x14ac:dyDescent="0.3">
      <c r="B6" s="46">
        <v>4</v>
      </c>
      <c r="C6" s="1">
        <v>9</v>
      </c>
      <c r="D6" s="1">
        <v>0</v>
      </c>
      <c r="E6" s="1">
        <v>21</v>
      </c>
      <c r="F6" s="1">
        <v>17350789</v>
      </c>
      <c r="G6" s="1">
        <v>103802</v>
      </c>
      <c r="H6" s="1">
        <v>2988923</v>
      </c>
      <c r="I6" s="1">
        <v>3266212</v>
      </c>
      <c r="J6" s="1">
        <v>0</v>
      </c>
      <c r="K6" s="1">
        <v>1594669</v>
      </c>
      <c r="L6" s="1">
        <v>187087</v>
      </c>
      <c r="M6" s="1">
        <v>3008239</v>
      </c>
      <c r="N6" s="1">
        <v>51808.87</v>
      </c>
      <c r="O6" s="1">
        <v>48224</v>
      </c>
      <c r="P6" s="1"/>
      <c r="R6">
        <f t="shared" si="0"/>
        <v>17454591</v>
      </c>
      <c r="S6">
        <f t="shared" si="1"/>
        <v>17698955.274</v>
      </c>
    </row>
    <row r="7" spans="2:19" x14ac:dyDescent="0.3">
      <c r="B7" s="46">
        <v>5</v>
      </c>
      <c r="C7" s="1">
        <v>10</v>
      </c>
      <c r="D7" s="1">
        <v>0</v>
      </c>
      <c r="E7" s="1">
        <v>32</v>
      </c>
      <c r="F7" s="1">
        <v>25932153</v>
      </c>
      <c r="G7" s="1">
        <v>80473</v>
      </c>
      <c r="H7" s="1">
        <v>4580882</v>
      </c>
      <c r="I7" s="1">
        <v>5035582</v>
      </c>
      <c r="J7" s="1">
        <v>30001</v>
      </c>
      <c r="K7" s="1">
        <v>2456867</v>
      </c>
      <c r="L7" s="1">
        <v>286050</v>
      </c>
      <c r="M7" s="1">
        <v>3820494</v>
      </c>
      <c r="N7" s="1">
        <v>77879.009999999995</v>
      </c>
      <c r="O7" s="1">
        <v>73695</v>
      </c>
      <c r="P7" s="1"/>
      <c r="R7">
        <f t="shared" si="0"/>
        <v>26012626</v>
      </c>
      <c r="S7">
        <f t="shared" si="1"/>
        <v>26376802.763999999</v>
      </c>
    </row>
    <row r="8" spans="2:19" x14ac:dyDescent="0.3">
      <c r="B8" s="46">
        <v>6</v>
      </c>
      <c r="C8" s="1">
        <v>11</v>
      </c>
      <c r="D8" s="1">
        <v>0</v>
      </c>
      <c r="E8" s="1">
        <v>53</v>
      </c>
      <c r="F8" s="1">
        <v>52548033</v>
      </c>
      <c r="G8" s="1">
        <v>23368</v>
      </c>
      <c r="H8" s="1">
        <v>9430082</v>
      </c>
      <c r="I8" s="1">
        <v>10358799</v>
      </c>
      <c r="J8" s="1">
        <v>0</v>
      </c>
      <c r="K8" s="1">
        <v>4475270</v>
      </c>
      <c r="L8" s="1">
        <v>561231</v>
      </c>
      <c r="M8" s="1">
        <v>6768337</v>
      </c>
      <c r="N8" s="1">
        <v>161249.64000000001</v>
      </c>
      <c r="O8" s="1">
        <v>152000</v>
      </c>
      <c r="P8" s="1"/>
      <c r="R8">
        <f t="shared" si="0"/>
        <v>52571401</v>
      </c>
      <c r="S8">
        <f t="shared" si="1"/>
        <v>53307400.614</v>
      </c>
    </row>
    <row r="9" spans="2:19" x14ac:dyDescent="0.3">
      <c r="B9" s="46">
        <v>7</v>
      </c>
      <c r="C9" s="1">
        <v>12</v>
      </c>
      <c r="D9" s="1">
        <v>0</v>
      </c>
      <c r="E9" s="1">
        <v>34</v>
      </c>
      <c r="F9" s="1">
        <v>15581675</v>
      </c>
      <c r="G9" s="1">
        <v>31999</v>
      </c>
      <c r="H9" s="1">
        <v>2825990</v>
      </c>
      <c r="I9" s="1">
        <v>3164474</v>
      </c>
      <c r="J9" s="1">
        <v>30001</v>
      </c>
      <c r="K9" s="1">
        <v>1570341</v>
      </c>
      <c r="L9" s="1">
        <v>187192</v>
      </c>
      <c r="M9" s="1">
        <v>2531689</v>
      </c>
      <c r="N9" s="1">
        <v>45758.48</v>
      </c>
      <c r="O9" s="1">
        <v>45252</v>
      </c>
      <c r="P9" s="1"/>
      <c r="R9">
        <f t="shared" si="0"/>
        <v>15613674</v>
      </c>
      <c r="S9">
        <f t="shared" si="1"/>
        <v>15832265.436000001</v>
      </c>
    </row>
    <row r="10" spans="2:19" x14ac:dyDescent="0.3">
      <c r="B10" s="46">
        <v>8</v>
      </c>
      <c r="C10" s="1">
        <v>13</v>
      </c>
      <c r="D10" s="1">
        <v>0</v>
      </c>
      <c r="E10" s="1">
        <v>43</v>
      </c>
      <c r="F10" s="1">
        <v>14310536</v>
      </c>
      <c r="G10" s="1">
        <v>49638</v>
      </c>
      <c r="H10" s="1">
        <v>2353258</v>
      </c>
      <c r="I10" s="1">
        <v>2601568</v>
      </c>
      <c r="J10" s="1">
        <v>30002</v>
      </c>
      <c r="K10" s="1">
        <v>1471486</v>
      </c>
      <c r="L10" s="1">
        <v>158737</v>
      </c>
      <c r="M10" s="1">
        <v>2572196</v>
      </c>
      <c r="N10" s="1">
        <v>42853.61</v>
      </c>
      <c r="O10" s="1">
        <v>37852</v>
      </c>
      <c r="P10" s="1"/>
      <c r="R10">
        <f t="shared" si="0"/>
        <v>14360174</v>
      </c>
      <c r="S10">
        <f t="shared" si="1"/>
        <v>14561216.436000001</v>
      </c>
    </row>
    <row r="11" spans="2:19" x14ac:dyDescent="0.3">
      <c r="B11" s="46">
        <v>9</v>
      </c>
      <c r="C11" s="1">
        <v>15</v>
      </c>
      <c r="D11" s="1">
        <v>0</v>
      </c>
      <c r="E11" s="1">
        <v>32</v>
      </c>
      <c r="F11" s="1">
        <v>12798057</v>
      </c>
      <c r="G11" s="1">
        <v>84859</v>
      </c>
      <c r="H11" s="1">
        <v>2175147</v>
      </c>
      <c r="I11" s="1">
        <v>2390777</v>
      </c>
      <c r="J11" s="1">
        <v>30000</v>
      </c>
      <c r="K11" s="1">
        <v>1289025</v>
      </c>
      <c r="L11" s="1">
        <v>141245</v>
      </c>
      <c r="M11" s="1">
        <v>2399597</v>
      </c>
      <c r="N11" s="1">
        <v>38629.82</v>
      </c>
      <c r="O11" s="1">
        <v>35004</v>
      </c>
      <c r="P11" s="1"/>
      <c r="R11">
        <f t="shared" si="0"/>
        <v>12882916</v>
      </c>
      <c r="S11">
        <f t="shared" si="1"/>
        <v>13063276.824000001</v>
      </c>
    </row>
    <row r="12" spans="2:19" x14ac:dyDescent="0.3">
      <c r="M12">
        <f>SUM(M3:M11)</f>
        <v>29557131</v>
      </c>
    </row>
    <row r="14" spans="2:19" x14ac:dyDescent="0.3">
      <c r="B14" t="s">
        <v>73</v>
      </c>
      <c r="D14" s="7"/>
      <c r="F14">
        <f>SUM(F3:F12)</f>
        <v>185285026</v>
      </c>
      <c r="G14">
        <f t="shared" ref="G14:O14" si="2">SUM(G3:G12)</f>
        <v>578940</v>
      </c>
      <c r="H14">
        <f t="shared" si="2"/>
        <v>32345038</v>
      </c>
      <c r="I14">
        <f t="shared" si="2"/>
        <v>35735170</v>
      </c>
      <c r="J14">
        <f t="shared" si="2"/>
        <v>180006</v>
      </c>
      <c r="K14">
        <f t="shared" si="2"/>
        <v>18160700</v>
      </c>
      <c r="L14">
        <f t="shared" si="2"/>
        <v>2129265</v>
      </c>
      <c r="M14">
        <f t="shared" si="2"/>
        <v>59114262</v>
      </c>
      <c r="N14">
        <f t="shared" si="2"/>
        <v>555127.29999999993</v>
      </c>
      <c r="O14">
        <f t="shared" si="2"/>
        <v>519930</v>
      </c>
      <c r="Q14">
        <f>F14+G14+H14+I14+J14+K14+L14-M12</f>
        <v>244857014</v>
      </c>
    </row>
    <row r="15" spans="2:19" ht="15" thickBot="1" x14ac:dyDescent="0.35"/>
    <row r="16" spans="2:19" x14ac:dyDescent="0.3">
      <c r="C16" s="2"/>
      <c r="D16" s="2"/>
      <c r="E16" s="2"/>
      <c r="F16" s="18"/>
    </row>
    <row r="17" spans="3:7" x14ac:dyDescent="0.3">
      <c r="C17" s="1"/>
      <c r="D17" s="1"/>
      <c r="E17" s="1"/>
      <c r="G17" s="3"/>
    </row>
    <row r="18" spans="3:7" x14ac:dyDescent="0.3">
      <c r="C18" s="1"/>
      <c r="D18" s="1"/>
      <c r="E18" s="1"/>
      <c r="G18" s="3"/>
    </row>
    <row r="19" spans="3:7" x14ac:dyDescent="0.3">
      <c r="C19" s="1"/>
      <c r="D19" s="1"/>
      <c r="E19" s="1"/>
      <c r="G19" s="3"/>
    </row>
    <row r="20" spans="3:7" x14ac:dyDescent="0.3">
      <c r="C20" s="1"/>
      <c r="D20" s="1"/>
      <c r="E20" s="1"/>
      <c r="G20" s="3"/>
    </row>
    <row r="21" spans="3:7" x14ac:dyDescent="0.3">
      <c r="C21" s="1"/>
      <c r="D21" s="1"/>
      <c r="E21" s="1"/>
      <c r="G21" s="3"/>
    </row>
    <row r="22" spans="3:7" x14ac:dyDescent="0.3">
      <c r="C22" s="1"/>
      <c r="D22" s="1"/>
      <c r="E22" s="1"/>
      <c r="G22" s="3"/>
    </row>
    <row r="23" spans="3:7" x14ac:dyDescent="0.3">
      <c r="C23" s="1"/>
      <c r="D23" s="1"/>
      <c r="E23" s="1"/>
      <c r="G23" s="3"/>
    </row>
    <row r="24" spans="3:7" x14ac:dyDescent="0.3">
      <c r="C24" s="1"/>
      <c r="D24" s="1"/>
      <c r="E24" s="1"/>
      <c r="G24" s="3"/>
    </row>
    <row r="25" spans="3:7" x14ac:dyDescent="0.3">
      <c r="C25" s="1"/>
      <c r="D25" s="1"/>
      <c r="E25" s="1"/>
      <c r="G25" s="3"/>
    </row>
    <row r="26" spans="3:7" x14ac:dyDescent="0.3">
      <c r="G26" s="3"/>
    </row>
  </sheetData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18"/>
  <sheetViews>
    <sheetView workbookViewId="0">
      <selection activeCell="D15" sqref="D15"/>
    </sheetView>
  </sheetViews>
  <sheetFormatPr defaultRowHeight="14.4" x14ac:dyDescent="0.3"/>
  <cols>
    <col min="1" max="1" width="11.88671875" style="9" customWidth="1"/>
    <col min="2" max="2" width="7.5546875" customWidth="1"/>
    <col min="3" max="3" width="13.6640625" customWidth="1"/>
    <col min="4" max="4" width="11.6640625" customWidth="1"/>
    <col min="5" max="5" width="13.6640625" bestFit="1" customWidth="1"/>
    <col min="6" max="6" width="12.44140625" customWidth="1"/>
    <col min="7" max="7" width="9.6640625" customWidth="1"/>
    <col min="8" max="8" width="11.33203125" customWidth="1"/>
    <col min="9" max="10" width="12.88671875" customWidth="1"/>
    <col min="11" max="11" width="14.6640625" bestFit="1" customWidth="1"/>
    <col min="12" max="12" width="13.88671875" customWidth="1"/>
    <col min="13" max="13" width="11" customWidth="1"/>
    <col min="14" max="14" width="1" customWidth="1"/>
    <col min="15" max="15" width="12.33203125" customWidth="1"/>
    <col min="16" max="16" width="12.6640625" customWidth="1"/>
    <col min="17" max="17" width="10.44140625" customWidth="1"/>
    <col min="18" max="18" width="10.109375" customWidth="1"/>
  </cols>
  <sheetData>
    <row r="1" spans="1:18" ht="15.75" customHeight="1" x14ac:dyDescent="0.3">
      <c r="C1" s="65" t="s">
        <v>80</v>
      </c>
      <c r="D1" s="65"/>
      <c r="E1" s="65"/>
      <c r="F1" s="65"/>
      <c r="G1" s="65"/>
      <c r="H1" s="65"/>
      <c r="I1" s="65"/>
      <c r="J1" s="65"/>
      <c r="K1" s="65"/>
      <c r="L1" s="65"/>
      <c r="M1" s="66"/>
    </row>
    <row r="3" spans="1:18" ht="18" x14ac:dyDescent="0.35">
      <c r="C3" s="13" t="str">
        <f>Driver!B8</f>
        <v>KEYSTONE AEA</v>
      </c>
      <c r="F3" s="62" t="s">
        <v>30</v>
      </c>
      <c r="G3" s="62"/>
    </row>
    <row r="4" spans="1:18" ht="12.6" customHeight="1" x14ac:dyDescent="0.3">
      <c r="O4" s="63" t="s">
        <v>83</v>
      </c>
      <c r="P4" s="64"/>
      <c r="Q4" s="64"/>
      <c r="R4" s="64"/>
    </row>
    <row r="5" spans="1:18" ht="43.2" x14ac:dyDescent="0.3">
      <c r="B5" s="8" t="s">
        <v>28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64</v>
      </c>
      <c r="H5" s="8" t="s">
        <v>22</v>
      </c>
      <c r="I5" s="8" t="s">
        <v>21</v>
      </c>
      <c r="J5" s="8" t="s">
        <v>23</v>
      </c>
      <c r="K5" s="20" t="s">
        <v>24</v>
      </c>
      <c r="L5" s="20" t="s">
        <v>81</v>
      </c>
      <c r="M5" s="20" t="s">
        <v>82</v>
      </c>
      <c r="O5" s="49" t="s">
        <v>34</v>
      </c>
      <c r="P5" s="49" t="s">
        <v>24</v>
      </c>
      <c r="Q5" s="49" t="s">
        <v>81</v>
      </c>
      <c r="R5" s="49" t="s">
        <v>82</v>
      </c>
    </row>
    <row r="6" spans="1:18" ht="10.199999999999999" customHeight="1" x14ac:dyDescent="0.3">
      <c r="K6" s="15"/>
      <c r="L6" s="15"/>
      <c r="M6" s="15"/>
      <c r="O6" s="50"/>
      <c r="P6" s="50"/>
      <c r="Q6" s="50"/>
      <c r="R6" s="50"/>
    </row>
    <row r="7" spans="1:18" x14ac:dyDescent="0.3">
      <c r="A7" s="9" t="s">
        <v>84</v>
      </c>
      <c r="C7" s="3">
        <f>FY_2024!F3</f>
        <v>11216201</v>
      </c>
      <c r="D7" s="3">
        <f>FY_2024!G3</f>
        <v>10552</v>
      </c>
      <c r="E7" s="3">
        <f>FY_2024!H3</f>
        <v>1969358</v>
      </c>
      <c r="F7" s="3">
        <f>FY_2024!I3</f>
        <v>2193922</v>
      </c>
      <c r="G7" s="3">
        <f>FY_2024!J3</f>
        <v>30001</v>
      </c>
      <c r="H7" s="3">
        <f>FY_2024!K3</f>
        <v>1110571</v>
      </c>
      <c r="I7" s="3">
        <f>FY_2024!L3</f>
        <v>120492</v>
      </c>
      <c r="J7" s="3">
        <f>-FY_2024!M3</f>
        <v>-2094923</v>
      </c>
      <c r="K7" s="17">
        <f>SUM(C7:J7)</f>
        <v>14556174</v>
      </c>
      <c r="L7" s="15"/>
      <c r="M7" s="15"/>
      <c r="O7" s="50"/>
      <c r="P7" s="50"/>
      <c r="Q7" s="50"/>
      <c r="R7" s="50"/>
    </row>
    <row r="8" spans="1:18" x14ac:dyDescent="0.3">
      <c r="C8" s="3"/>
      <c r="D8" s="3"/>
      <c r="E8" s="3"/>
      <c r="F8" s="3"/>
      <c r="G8" s="3"/>
      <c r="H8" s="3"/>
      <c r="I8" s="3"/>
      <c r="J8" s="3"/>
      <c r="K8" s="17"/>
      <c r="L8" s="15"/>
      <c r="M8" s="15"/>
      <c r="O8" s="50"/>
      <c r="P8" s="50"/>
      <c r="Q8" s="50"/>
      <c r="R8" s="50"/>
    </row>
    <row r="9" spans="1:18" x14ac:dyDescent="0.3">
      <c r="A9" s="9" t="s">
        <v>85</v>
      </c>
      <c r="B9" s="19">
        <f>Driver!C5</f>
        <v>2.5000000000000001E-2</v>
      </c>
      <c r="C9" s="3">
        <f>Driver!C8</f>
        <v>11478707</v>
      </c>
      <c r="D9" s="3">
        <f>Driver!D8</f>
        <v>14190</v>
      </c>
      <c r="E9" s="3">
        <f>Driver!E8</f>
        <v>2019332</v>
      </c>
      <c r="F9" s="3">
        <f>Driver!F8</f>
        <v>2249384</v>
      </c>
      <c r="G9" s="3">
        <f>Driver!G8</f>
        <v>30000</v>
      </c>
      <c r="H9" s="3">
        <f>Driver!H8</f>
        <v>1138765</v>
      </c>
      <c r="I9" s="3">
        <f>Driver!I8</f>
        <v>123768</v>
      </c>
      <c r="J9" s="3">
        <f>Driver!J8</f>
        <v>-537076</v>
      </c>
      <c r="K9" s="22">
        <f>Driver!K8</f>
        <v>16517070</v>
      </c>
      <c r="L9" s="23">
        <f>K9-K7</f>
        <v>1960896</v>
      </c>
      <c r="M9" s="24">
        <f>L9/K7</f>
        <v>0.13471232207034622</v>
      </c>
      <c r="O9" s="53">
        <f>J7</f>
        <v>-2094923</v>
      </c>
      <c r="P9" s="53">
        <f>C9+D9+E9+F9+G9+H9+I9+O9</f>
        <v>14959223</v>
      </c>
      <c r="Q9" s="53">
        <f>P9-K7</f>
        <v>403049</v>
      </c>
      <c r="R9" s="51">
        <f>Q9/K7</f>
        <v>2.768921283848352E-2</v>
      </c>
    </row>
    <row r="10" spans="1:18" x14ac:dyDescent="0.3">
      <c r="K10" s="15"/>
      <c r="L10" s="15"/>
      <c r="M10" s="21"/>
      <c r="O10" s="54"/>
      <c r="P10" s="54"/>
      <c r="Q10" s="54"/>
      <c r="R10" s="52"/>
    </row>
    <row r="11" spans="1:18" x14ac:dyDescent="0.3">
      <c r="A11" s="9" t="str">
        <f>A9</f>
        <v>Est. FY 2025</v>
      </c>
      <c r="B11" s="19">
        <f>Driver!C23</f>
        <v>0.02</v>
      </c>
      <c r="C11" s="3">
        <f>Driver!C26</f>
        <v>11424929</v>
      </c>
      <c r="D11" s="3">
        <f>Driver!D26</f>
        <v>19002</v>
      </c>
      <c r="E11" s="3">
        <f>Driver!E26</f>
        <v>2009550</v>
      </c>
      <c r="F11" s="3">
        <f>Driver!F26</f>
        <v>2238336</v>
      </c>
      <c r="G11" s="3">
        <f>Driver!G26</f>
        <v>30000</v>
      </c>
      <c r="H11" s="3">
        <f>Driver!H26</f>
        <v>1133579</v>
      </c>
      <c r="I11" s="3">
        <f>Driver!I26</f>
        <v>123146</v>
      </c>
      <c r="J11" s="3">
        <f>Driver!J26</f>
        <v>-537076</v>
      </c>
      <c r="K11" s="22">
        <f>Driver!K26</f>
        <v>16441466</v>
      </c>
      <c r="L11" s="23">
        <f>K11-K7</f>
        <v>1885292</v>
      </c>
      <c r="M11" s="24">
        <f>L11/K7</f>
        <v>0.12951837481470063</v>
      </c>
      <c r="O11" s="53">
        <f>J7</f>
        <v>-2094923</v>
      </c>
      <c r="P11" s="53">
        <f>C11+D11+E11+F11+G11+H11+I11+O11</f>
        <v>14883619</v>
      </c>
      <c r="Q11" s="53">
        <f>P11-K7</f>
        <v>327445</v>
      </c>
      <c r="R11" s="51">
        <f>Q11/K7</f>
        <v>2.2495265582837907E-2</v>
      </c>
    </row>
    <row r="13" spans="1:18" x14ac:dyDescent="0.3">
      <c r="A13" s="16" t="str">
        <f>Driver!B39</f>
        <v>*Estimates are preliminary and subject to change.</v>
      </c>
    </row>
    <row r="14" spans="1:18" x14ac:dyDescent="0.3">
      <c r="A14" s="30" t="str">
        <f>Driver!$B$41</f>
        <v>Sources:</v>
      </c>
    </row>
    <row r="15" spans="1:18" x14ac:dyDescent="0.3">
      <c r="A15" s="30" t="str">
        <f>Driver!$B$42</f>
        <v>Iowa Department of Management, School Aid file and IASB estimates (based on IASB_Schlaid_FY24_FY29_2.2.sas).</v>
      </c>
    </row>
    <row r="16" spans="1:18" x14ac:dyDescent="0.3">
      <c r="A16" s="16"/>
    </row>
    <row r="18" spans="1:1" x14ac:dyDescent="0.3">
      <c r="A18" s="16" t="str">
        <f>Driver!$B$44</f>
        <v>Copyright 2024 - Iowa Association of School Boards</v>
      </c>
    </row>
  </sheetData>
  <mergeCells count="3">
    <mergeCell ref="F3:G3"/>
    <mergeCell ref="O4:R4"/>
    <mergeCell ref="C1:M1"/>
  </mergeCells>
  <hyperlinks>
    <hyperlink ref="F3:G3" location="Driver!B2" display="Back to Main Tab" xr:uid="{00000000-0004-0000-0D00-000000000000}"/>
  </hyperlinks>
  <pageMargins left="0.32" right="0.35" top="0.75" bottom="0.55000000000000004" header="0.3" footer="0.3"/>
  <pageSetup scale="82" orientation="landscape" r:id="rId1"/>
  <headerFooter>
    <oddFooter>&amp;LIASB:  &amp;F  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17"/>
  <sheetViews>
    <sheetView workbookViewId="0">
      <selection activeCell="L23" sqref="L23"/>
    </sheetView>
  </sheetViews>
  <sheetFormatPr defaultRowHeight="14.4" x14ac:dyDescent="0.3"/>
  <cols>
    <col min="1" max="1" width="11.88671875" style="9" customWidth="1"/>
    <col min="2" max="2" width="8" customWidth="1"/>
    <col min="3" max="3" width="13.6640625" customWidth="1"/>
    <col min="4" max="4" width="11.6640625" customWidth="1"/>
    <col min="5" max="5" width="13.6640625" bestFit="1" customWidth="1"/>
    <col min="6" max="6" width="12.44140625" customWidth="1"/>
    <col min="7" max="7" width="8.88671875" customWidth="1"/>
    <col min="8" max="8" width="11.33203125" customWidth="1"/>
    <col min="9" max="10" width="12.88671875" customWidth="1"/>
    <col min="11" max="11" width="14.6640625" bestFit="1" customWidth="1"/>
    <col min="12" max="12" width="13.88671875" customWidth="1"/>
    <col min="13" max="13" width="11" customWidth="1"/>
    <col min="14" max="14" width="1" customWidth="1"/>
    <col min="15" max="15" width="12.33203125" customWidth="1"/>
    <col min="16" max="16" width="13.44140625" customWidth="1"/>
    <col min="17" max="17" width="10.44140625" customWidth="1"/>
    <col min="18" max="18" width="10.109375" customWidth="1"/>
  </cols>
  <sheetData>
    <row r="1" spans="1:18" ht="15.75" customHeight="1" x14ac:dyDescent="0.3">
      <c r="C1" s="65" t="str">
        <f>Keystone!$C$1</f>
        <v>Iowa Association of School Boards:  Supplemental State Aid Funding for Area Education Agencies FY 2024 and Estimated FY 2025</v>
      </c>
      <c r="D1" s="65"/>
      <c r="E1" s="65"/>
      <c r="F1" s="65"/>
      <c r="G1" s="65"/>
      <c r="H1" s="65"/>
      <c r="I1" s="65"/>
      <c r="J1" s="65"/>
      <c r="K1" s="65"/>
      <c r="L1" s="65"/>
      <c r="M1" s="66"/>
    </row>
    <row r="3" spans="1:18" ht="18" x14ac:dyDescent="0.35">
      <c r="C3" s="13" t="str">
        <f>Driver!B9</f>
        <v>PRAIRIE LAKES AEA</v>
      </c>
      <c r="F3" s="62" t="s">
        <v>30</v>
      </c>
      <c r="G3" s="62"/>
    </row>
    <row r="4" spans="1:18" ht="12.6" customHeight="1" x14ac:dyDescent="0.3">
      <c r="O4" s="63" t="str">
        <f>Keystone!O4</f>
        <v>If State Aid Reduction = Prior Fiscal Year Amount</v>
      </c>
      <c r="P4" s="64"/>
      <c r="Q4" s="64"/>
      <c r="R4" s="64"/>
    </row>
    <row r="5" spans="1:18" ht="43.2" x14ac:dyDescent="0.3">
      <c r="B5" s="6" t="s">
        <v>28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22</v>
      </c>
      <c r="I5" s="8" t="s">
        <v>21</v>
      </c>
      <c r="J5" s="8" t="s">
        <v>23</v>
      </c>
      <c r="K5" s="20" t="s">
        <v>24</v>
      </c>
      <c r="L5" s="20" t="str">
        <f>Keystone!$L$5</f>
        <v>Change Compared to FY 2024</v>
      </c>
      <c r="M5" s="20" t="str">
        <f>Keystone!$M$5</f>
        <v>% Change Compared to FY 2024</v>
      </c>
      <c r="O5" s="49" t="s">
        <v>34</v>
      </c>
      <c r="P5" s="49" t="s">
        <v>24</v>
      </c>
      <c r="Q5" s="49" t="str">
        <f>Keystone!Q5</f>
        <v>Change Compared to FY 2024</v>
      </c>
      <c r="R5" s="49" t="str">
        <f>Keystone!R5</f>
        <v>% Change Compared to FY 2024</v>
      </c>
    </row>
    <row r="6" spans="1:18" ht="10.199999999999999" customHeight="1" x14ac:dyDescent="0.3">
      <c r="K6" s="15"/>
      <c r="L6" s="15"/>
      <c r="M6" s="15"/>
      <c r="O6" s="50"/>
      <c r="P6" s="50"/>
      <c r="Q6" s="50"/>
      <c r="R6" s="50"/>
    </row>
    <row r="7" spans="1:18" x14ac:dyDescent="0.3">
      <c r="A7" s="9" t="str">
        <f>Keystone!$A$7</f>
        <v>FY 2024</v>
      </c>
      <c r="C7" s="3">
        <f>FY_2024!F4</f>
        <v>11733799</v>
      </c>
      <c r="D7" s="3">
        <f>FY_2024!G4</f>
        <v>73537</v>
      </c>
      <c r="E7" s="3">
        <f>FY_2024!H4</f>
        <v>1999952</v>
      </c>
      <c r="F7" s="3">
        <f>FY_2024!I4</f>
        <v>2240189</v>
      </c>
      <c r="G7" s="3">
        <f>FY_2024!J4</f>
        <v>0</v>
      </c>
      <c r="H7" s="3">
        <f>FY_2024!K4</f>
        <v>1244494</v>
      </c>
      <c r="I7" s="3">
        <f>FY_2024!L4</f>
        <v>147912</v>
      </c>
      <c r="J7" s="3">
        <f>-FY_2024!M4</f>
        <v>-2227501</v>
      </c>
      <c r="K7" s="17">
        <f>SUM(C7:J7)</f>
        <v>15212382</v>
      </c>
      <c r="L7" s="15"/>
      <c r="M7" s="15"/>
      <c r="O7" s="50"/>
      <c r="P7" s="50"/>
      <c r="Q7" s="50"/>
      <c r="R7" s="50"/>
    </row>
    <row r="8" spans="1:18" x14ac:dyDescent="0.3">
      <c r="C8" s="3"/>
      <c r="D8" s="3"/>
      <c r="E8" s="3"/>
      <c r="F8" s="3"/>
      <c r="G8" s="3"/>
      <c r="H8" s="3"/>
      <c r="I8" s="3"/>
      <c r="J8" s="3"/>
      <c r="K8" s="17"/>
      <c r="L8" s="15"/>
      <c r="M8" s="15"/>
      <c r="O8" s="50"/>
      <c r="P8" s="50"/>
      <c r="Q8" s="50"/>
      <c r="R8" s="50"/>
    </row>
    <row r="9" spans="1:18" x14ac:dyDescent="0.3">
      <c r="A9" s="9" t="str">
        <f>Keystone!$A$9</f>
        <v>Est. FY 2025</v>
      </c>
      <c r="B9" s="19">
        <f>Driver!C5</f>
        <v>2.5000000000000001E-2</v>
      </c>
      <c r="C9" s="3">
        <f>Driver!C9</f>
        <v>11857256</v>
      </c>
      <c r="D9" s="3">
        <f>Driver!D9</f>
        <v>136522</v>
      </c>
      <c r="E9" s="3">
        <f>Driver!E9</f>
        <v>2041846</v>
      </c>
      <c r="F9" s="3">
        <f>Driver!F9</f>
        <v>2286608</v>
      </c>
      <c r="G9" s="3">
        <f>Driver!G9</f>
        <v>0</v>
      </c>
      <c r="H9" s="3">
        <f>Driver!H9</f>
        <v>1264476</v>
      </c>
      <c r="I9" s="3">
        <f>Driver!I9</f>
        <v>150245</v>
      </c>
      <c r="J9" s="3">
        <f>Driver!J9</f>
        <v>-572744</v>
      </c>
      <c r="K9" s="22">
        <f>SUM(C9:J9)</f>
        <v>17164209</v>
      </c>
      <c r="L9" s="23">
        <f>K9-K7</f>
        <v>1951827</v>
      </c>
      <c r="M9" s="24">
        <f>L9/K7</f>
        <v>0.12830515299970774</v>
      </c>
      <c r="O9" s="53">
        <f>J7</f>
        <v>-2227501</v>
      </c>
      <c r="P9" s="53">
        <f>C9+D9+E9+F9+G9+H9+I9+O9</f>
        <v>15509452</v>
      </c>
      <c r="Q9" s="53">
        <f>P9-K7</f>
        <v>297070</v>
      </c>
      <c r="R9" s="51">
        <f>Q9/K7</f>
        <v>1.9528171196332041E-2</v>
      </c>
    </row>
    <row r="10" spans="1:18" x14ac:dyDescent="0.3">
      <c r="K10" s="15"/>
      <c r="L10" s="15"/>
      <c r="M10" s="21"/>
      <c r="O10" s="54"/>
      <c r="P10" s="54"/>
      <c r="Q10" s="54"/>
      <c r="R10" s="52"/>
    </row>
    <row r="11" spans="1:18" x14ac:dyDescent="0.3">
      <c r="A11" s="9" t="str">
        <f>Keystone!$A$11</f>
        <v>Est. FY 2025</v>
      </c>
      <c r="B11" s="19">
        <f>Driver!C23</f>
        <v>0.02</v>
      </c>
      <c r="C11" s="3">
        <f>Driver!C27</f>
        <v>11801039</v>
      </c>
      <c r="D11" s="3">
        <f>Driver!D27</f>
        <v>157817</v>
      </c>
      <c r="E11" s="3">
        <f>Driver!E27</f>
        <v>2031968</v>
      </c>
      <c r="F11" s="3">
        <f>Driver!F27</f>
        <v>2275445</v>
      </c>
      <c r="G11" s="3">
        <f>Driver!G27</f>
        <v>0</v>
      </c>
      <c r="H11" s="3">
        <f>Driver!H27</f>
        <v>1260734</v>
      </c>
      <c r="I11" s="3">
        <f>Driver!I27</f>
        <v>149807</v>
      </c>
      <c r="J11" s="3">
        <f>Driver!J27</f>
        <v>-572744</v>
      </c>
      <c r="K11" s="22">
        <f>SUM(C11:J11)</f>
        <v>17104066</v>
      </c>
      <c r="L11" s="23">
        <f>K11-K7</f>
        <v>1891684</v>
      </c>
      <c r="M11" s="24">
        <f>L11/K7</f>
        <v>0.12435159727122287</v>
      </c>
      <c r="O11" s="53">
        <f>J7</f>
        <v>-2227501</v>
      </c>
      <c r="P11" s="53">
        <f>C11+D11+E11+F11+G11+H11+I11+O11</f>
        <v>15449309</v>
      </c>
      <c r="Q11" s="53">
        <f>P11-K7</f>
        <v>236927</v>
      </c>
      <c r="R11" s="51">
        <f>Q11/K7</f>
        <v>1.5574615467847179E-2</v>
      </c>
    </row>
    <row r="13" spans="1:18" x14ac:dyDescent="0.3">
      <c r="A13" s="16" t="str">
        <f>Keystone!$A$13</f>
        <v>*Estimates are preliminary and subject to change.</v>
      </c>
    </row>
    <row r="14" spans="1:18" x14ac:dyDescent="0.3">
      <c r="A14" s="30" t="str">
        <f>Keystone!$A$14</f>
        <v>Sources:</v>
      </c>
    </row>
    <row r="15" spans="1:18" x14ac:dyDescent="0.3">
      <c r="A15" s="30" t="str">
        <f>Keystone!$A$15</f>
        <v>Iowa Department of Management, School Aid file and IASB estimates (based on IASB_Schlaid_FY24_FY29_2.2.sas).</v>
      </c>
    </row>
    <row r="16" spans="1:18" x14ac:dyDescent="0.3">
      <c r="A16" s="16"/>
    </row>
    <row r="17" spans="1:1" x14ac:dyDescent="0.3">
      <c r="A17" s="16" t="str">
        <f>Keystone!$A$18</f>
        <v>Copyright 2024 - Iowa Association of School Boards</v>
      </c>
    </row>
  </sheetData>
  <mergeCells count="3">
    <mergeCell ref="F3:G3"/>
    <mergeCell ref="O4:R4"/>
    <mergeCell ref="C1:M1"/>
  </mergeCells>
  <hyperlinks>
    <hyperlink ref="F3:G3" location="Driver!B2" display="Back to Main Tab" xr:uid="{00000000-0004-0000-0E00-000000000000}"/>
  </hyperlinks>
  <pageMargins left="0.32" right="0.35" top="0.75" bottom="0.55000000000000004" header="0.3" footer="0.3"/>
  <pageSetup scale="82" orientation="landscape" r:id="rId1"/>
  <headerFooter>
    <oddFooter>&amp;LIASB:  &amp;F  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17"/>
  <sheetViews>
    <sheetView workbookViewId="0">
      <selection activeCell="C1" sqref="C1:M1"/>
    </sheetView>
  </sheetViews>
  <sheetFormatPr defaultRowHeight="14.4" x14ac:dyDescent="0.3"/>
  <cols>
    <col min="1" max="1" width="11.88671875" style="9" customWidth="1"/>
    <col min="2" max="2" width="8" customWidth="1"/>
    <col min="3" max="3" width="13.6640625" customWidth="1"/>
    <col min="4" max="4" width="11.6640625" customWidth="1"/>
    <col min="5" max="5" width="13.6640625" bestFit="1" customWidth="1"/>
    <col min="6" max="6" width="12.44140625" customWidth="1"/>
    <col min="7" max="7" width="8.5546875" bestFit="1" customWidth="1"/>
    <col min="8" max="8" width="11.33203125" customWidth="1"/>
    <col min="9" max="10" width="12.88671875" customWidth="1"/>
    <col min="11" max="11" width="14.6640625" bestFit="1" customWidth="1"/>
    <col min="12" max="12" width="16" customWidth="1"/>
    <col min="13" max="13" width="11" customWidth="1"/>
    <col min="14" max="14" width="1" customWidth="1"/>
    <col min="15" max="15" width="12.33203125" customWidth="1"/>
    <col min="16" max="16" width="13.109375" customWidth="1"/>
    <col min="17" max="17" width="10.44140625" customWidth="1"/>
    <col min="18" max="18" width="10.109375" customWidth="1"/>
  </cols>
  <sheetData>
    <row r="1" spans="1:18" ht="15.6" x14ac:dyDescent="0.3">
      <c r="C1" s="65" t="str">
        <f>PrairieLakes!C1</f>
        <v>Iowa Association of School Boards:  Supplemental State Aid Funding for Area Education Agencies FY 2024 and Estimated FY 2025</v>
      </c>
      <c r="D1" s="65"/>
      <c r="E1" s="65"/>
      <c r="F1" s="65"/>
      <c r="G1" s="65"/>
      <c r="H1" s="65"/>
      <c r="I1" s="65"/>
      <c r="J1" s="65"/>
      <c r="K1" s="65"/>
      <c r="L1" s="65"/>
      <c r="M1" s="66"/>
    </row>
    <row r="3" spans="1:18" ht="18" x14ac:dyDescent="0.35">
      <c r="C3" s="13" t="str">
        <f>Driver!B10</f>
        <v>Central Rivers AEA</v>
      </c>
      <c r="F3" s="62" t="s">
        <v>30</v>
      </c>
      <c r="G3" s="62"/>
    </row>
    <row r="4" spans="1:18" ht="12.6" customHeight="1" x14ac:dyDescent="0.3">
      <c r="O4" s="63" t="str">
        <f>PrairieLakes!O4</f>
        <v>If State Aid Reduction = Prior Fiscal Year Amount</v>
      </c>
      <c r="P4" s="64"/>
      <c r="Q4" s="64"/>
      <c r="R4" s="64"/>
    </row>
    <row r="5" spans="1:18" ht="43.2" x14ac:dyDescent="0.3">
      <c r="B5" s="6" t="str">
        <f>PrairieLakes!B5</f>
        <v>SSA Rate</v>
      </c>
      <c r="C5" s="8" t="str">
        <f>PrairieLakes!C5</f>
        <v>Special Education Support</v>
      </c>
      <c r="D5" s="8" t="str">
        <f>PrairieLakes!D5</f>
        <v>Special Education Support Adj.</v>
      </c>
      <c r="E5" s="8" t="str">
        <f>PrairieLakes!E5</f>
        <v>Media Services</v>
      </c>
      <c r="F5" s="8" t="str">
        <f>PrairieLakes!F5</f>
        <v>Ed. Services</v>
      </c>
      <c r="G5" s="8" t="str">
        <f>PrairieLakes!G5</f>
        <v>Sharing</v>
      </c>
      <c r="H5" s="8" t="str">
        <f>PrairieLakes!H5</f>
        <v>Teacher Salary Supp.</v>
      </c>
      <c r="I5" s="8" t="str">
        <f>PrairieLakes!I5</f>
        <v>Professional Development Supp.</v>
      </c>
      <c r="J5" s="8" t="str">
        <f>PrairieLakes!J5</f>
        <v>State Aid Reduction To AEAs</v>
      </c>
      <c r="K5" s="20" t="str">
        <f>PrairieLakes!K5</f>
        <v>Total School Aid Funding</v>
      </c>
      <c r="L5" s="20" t="str">
        <f>PrairieLakes!L5</f>
        <v>Change Compared to FY 2024</v>
      </c>
      <c r="M5" s="20" t="str">
        <f>PrairieLakes!M5</f>
        <v>% Change Compared to FY 2024</v>
      </c>
      <c r="O5" s="49" t="s">
        <v>34</v>
      </c>
      <c r="P5" s="49" t="s">
        <v>24</v>
      </c>
      <c r="Q5" s="49" t="str">
        <f>PrairieLakes!Q5</f>
        <v>Change Compared to FY 2024</v>
      </c>
      <c r="R5" s="49" t="str">
        <f>PrairieLakes!R5</f>
        <v>% Change Compared to FY 2024</v>
      </c>
    </row>
    <row r="6" spans="1:18" ht="10.199999999999999" customHeight="1" x14ac:dyDescent="0.3">
      <c r="K6" s="15"/>
      <c r="L6" s="15"/>
      <c r="M6" s="15"/>
      <c r="O6" s="50"/>
      <c r="P6" s="50"/>
      <c r="Q6" s="50"/>
      <c r="R6" s="50"/>
    </row>
    <row r="7" spans="1:18" x14ac:dyDescent="0.3">
      <c r="A7" s="9" t="str">
        <f>Keystone!$A$7</f>
        <v>FY 2024</v>
      </c>
      <c r="C7" s="3">
        <f>FY_2024!F5</f>
        <v>23813783</v>
      </c>
      <c r="D7" s="3">
        <f>FY_2024!G5</f>
        <v>120712</v>
      </c>
      <c r="E7" s="3">
        <f>FY_2024!H5</f>
        <v>4021446</v>
      </c>
      <c r="F7" s="3">
        <f>FY_2024!I5</f>
        <v>4483647</v>
      </c>
      <c r="G7" s="3">
        <f>FY_2024!J5</f>
        <v>30001</v>
      </c>
      <c r="H7" s="3">
        <f>FY_2024!K5</f>
        <v>2947977</v>
      </c>
      <c r="I7" s="3">
        <f>FY_2024!L5</f>
        <v>339319</v>
      </c>
      <c r="J7" s="3">
        <f>-FY_2024!M5</f>
        <v>-4134155</v>
      </c>
      <c r="K7" s="17">
        <f>SUM(C7:J7)</f>
        <v>31622730</v>
      </c>
      <c r="L7" s="15"/>
      <c r="M7" s="15"/>
      <c r="O7" s="50"/>
      <c r="P7" s="50"/>
      <c r="Q7" s="50"/>
      <c r="R7" s="50"/>
    </row>
    <row r="8" spans="1:18" x14ac:dyDescent="0.3">
      <c r="C8" s="3"/>
      <c r="D8" s="3"/>
      <c r="E8" s="3"/>
      <c r="F8" s="3"/>
      <c r="G8" s="3"/>
      <c r="H8" s="3"/>
      <c r="I8" s="3"/>
      <c r="J8" s="3"/>
      <c r="K8" s="17"/>
      <c r="L8" s="15"/>
      <c r="M8" s="15"/>
      <c r="O8" s="50"/>
      <c r="P8" s="50"/>
      <c r="Q8" s="50"/>
      <c r="R8" s="50"/>
    </row>
    <row r="9" spans="1:18" x14ac:dyDescent="0.3">
      <c r="A9" s="9" t="str">
        <f>Keystone!$A$9</f>
        <v>Est. FY 2025</v>
      </c>
      <c r="B9" s="19">
        <f>Driver!C5</f>
        <v>2.5000000000000001E-2</v>
      </c>
      <c r="C9" s="3">
        <f>Driver!C10</f>
        <v>24280029</v>
      </c>
      <c r="D9" s="3">
        <f>Driver!D10</f>
        <v>121006</v>
      </c>
      <c r="E9" s="3">
        <f>Driver!E10</f>
        <v>4114822</v>
      </c>
      <c r="F9" s="3">
        <f>Driver!F10</f>
        <v>4587236</v>
      </c>
      <c r="G9" s="3">
        <f>Driver!G10</f>
        <v>30000</v>
      </c>
      <c r="H9" s="3">
        <f>Driver!H10</f>
        <v>2996491</v>
      </c>
      <c r="I9" s="3">
        <f>Driver!I10</f>
        <v>344979</v>
      </c>
      <c r="J9" s="3">
        <f>Driver!J10</f>
        <v>-1051119</v>
      </c>
      <c r="K9" s="22">
        <f>SUM(C9:J9)</f>
        <v>35423444</v>
      </c>
      <c r="L9" s="23">
        <f>K9-K7</f>
        <v>3800714</v>
      </c>
      <c r="M9" s="24">
        <f>L9/K7</f>
        <v>0.12018930686882505</v>
      </c>
      <c r="O9" s="53">
        <f>J7</f>
        <v>-4134155</v>
      </c>
      <c r="P9" s="53">
        <f>C9+D9+E9+F9+G9+H9+I9+O9</f>
        <v>32340408</v>
      </c>
      <c r="Q9" s="53">
        <f>P9-K7</f>
        <v>717678</v>
      </c>
      <c r="R9" s="51">
        <f>Q9/K7</f>
        <v>2.269500451099573E-2</v>
      </c>
    </row>
    <row r="10" spans="1:18" x14ac:dyDescent="0.3">
      <c r="K10" s="15"/>
      <c r="L10" s="15"/>
      <c r="M10" s="21"/>
      <c r="O10" s="54"/>
      <c r="P10" s="54"/>
      <c r="Q10" s="54"/>
      <c r="R10" s="52"/>
    </row>
    <row r="11" spans="1:18" x14ac:dyDescent="0.3">
      <c r="A11" s="9" t="str">
        <f>Keystone!$A$11</f>
        <v>Est. FY 2025</v>
      </c>
      <c r="B11" s="19">
        <f>Driver!C23</f>
        <v>0.02</v>
      </c>
      <c r="C11" s="3">
        <f>Driver!C28</f>
        <v>24162702</v>
      </c>
      <c r="D11" s="3">
        <f>Driver!D28</f>
        <v>145927</v>
      </c>
      <c r="E11" s="3">
        <f>Driver!E28</f>
        <v>4094893</v>
      </c>
      <c r="F11" s="3">
        <f>Driver!F28</f>
        <v>4564740</v>
      </c>
      <c r="G11" s="3">
        <f>Driver!G28</f>
        <v>30000</v>
      </c>
      <c r="H11" s="3">
        <f>Driver!H28</f>
        <v>2986470</v>
      </c>
      <c r="I11" s="3">
        <f>Driver!I28</f>
        <v>343805</v>
      </c>
      <c r="J11" s="3">
        <f>Driver!J28</f>
        <v>-1051119</v>
      </c>
      <c r="K11" s="22">
        <f>SUM(C11:J11)</f>
        <v>35277418</v>
      </c>
      <c r="L11" s="23">
        <f>K11-K7</f>
        <v>3654688</v>
      </c>
      <c r="M11" s="24">
        <f>L11/K7</f>
        <v>0.11557155248772007</v>
      </c>
      <c r="O11" s="53">
        <f>J7</f>
        <v>-4134155</v>
      </c>
      <c r="P11" s="53">
        <f>C11+D11+E11+F11+G11+H11+I11+O11</f>
        <v>32194382</v>
      </c>
      <c r="Q11" s="53">
        <f>P11-K7</f>
        <v>571652</v>
      </c>
      <c r="R11" s="51">
        <f>Q11/K7</f>
        <v>1.8077250129890747E-2</v>
      </c>
    </row>
    <row r="13" spans="1:18" x14ac:dyDescent="0.3">
      <c r="A13" s="16" t="str">
        <f>Keystone!$A$13</f>
        <v>*Estimates are preliminary and subject to change.</v>
      </c>
    </row>
    <row r="14" spans="1:18" x14ac:dyDescent="0.3">
      <c r="A14" s="30" t="str">
        <f>Keystone!$A$14</f>
        <v>Sources:</v>
      </c>
    </row>
    <row r="15" spans="1:18" x14ac:dyDescent="0.3">
      <c r="A15" s="30" t="str">
        <f>Keystone!$A$15</f>
        <v>Iowa Department of Management, School Aid file and IASB estimates (based on IASB_Schlaid_FY24_FY29_2.2.sas).</v>
      </c>
    </row>
    <row r="16" spans="1:18" x14ac:dyDescent="0.3">
      <c r="A16" s="16"/>
    </row>
    <row r="17" spans="1:1" x14ac:dyDescent="0.3">
      <c r="A17" s="16" t="str">
        <f>Keystone!$A$18</f>
        <v>Copyright 2024 - Iowa Association of School Boards</v>
      </c>
    </row>
  </sheetData>
  <mergeCells count="3">
    <mergeCell ref="F3:G3"/>
    <mergeCell ref="O4:R4"/>
    <mergeCell ref="C1:M1"/>
  </mergeCells>
  <hyperlinks>
    <hyperlink ref="F3:G3" location="Driver!B2" display="Back to Main Tab" xr:uid="{00000000-0004-0000-0F00-000000000000}"/>
  </hyperlinks>
  <pageMargins left="0.32" right="0.35" top="0.75" bottom="0.55000000000000004" header="0.3" footer="0.3"/>
  <pageSetup scale="82" orientation="landscape" r:id="rId1"/>
  <headerFooter>
    <oddFooter>&amp;LIASB:  &amp;F  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17"/>
  <sheetViews>
    <sheetView workbookViewId="0">
      <selection activeCell="C1" sqref="C1:M1"/>
    </sheetView>
  </sheetViews>
  <sheetFormatPr defaultRowHeight="14.4" x14ac:dyDescent="0.3"/>
  <cols>
    <col min="1" max="1" width="11.88671875" style="9" customWidth="1"/>
    <col min="2" max="2" width="8" customWidth="1"/>
    <col min="3" max="3" width="13.6640625" customWidth="1"/>
    <col min="4" max="4" width="11.6640625" customWidth="1"/>
    <col min="5" max="5" width="13.6640625" bestFit="1" customWidth="1"/>
    <col min="6" max="6" width="12.44140625" customWidth="1"/>
    <col min="7" max="7" width="8.5546875" bestFit="1" customWidth="1"/>
    <col min="8" max="8" width="11.33203125" customWidth="1"/>
    <col min="9" max="10" width="12.88671875" customWidth="1"/>
    <col min="11" max="11" width="14.6640625" bestFit="1" customWidth="1"/>
    <col min="12" max="12" width="13.88671875" customWidth="1"/>
    <col min="13" max="13" width="11" customWidth="1"/>
    <col min="14" max="14" width="1" customWidth="1"/>
    <col min="15" max="15" width="12.33203125" customWidth="1"/>
    <col min="16" max="16" width="12.6640625" customWidth="1"/>
    <col min="17" max="17" width="10.44140625" customWidth="1"/>
    <col min="18" max="18" width="10.109375" customWidth="1"/>
  </cols>
  <sheetData>
    <row r="1" spans="1:18" ht="15.75" customHeight="1" x14ac:dyDescent="0.3">
      <c r="C1" s="65" t="str">
        <f>CentralRivers!C1</f>
        <v>Iowa Association of School Boards:  Supplemental State Aid Funding for Area Education Agencies FY 2024 and Estimated FY 2025</v>
      </c>
      <c r="D1" s="65"/>
      <c r="E1" s="65"/>
      <c r="F1" s="65"/>
      <c r="G1" s="65"/>
      <c r="H1" s="65"/>
      <c r="I1" s="65"/>
      <c r="J1" s="65"/>
      <c r="K1" s="65"/>
      <c r="L1" s="65"/>
      <c r="M1" s="66"/>
    </row>
    <row r="3" spans="1:18" ht="18" x14ac:dyDescent="0.35">
      <c r="C3" s="13" t="str">
        <f>Driver!B11</f>
        <v>MISSISSIPPI BEND AEA</v>
      </c>
      <c r="F3" s="62" t="s">
        <v>30</v>
      </c>
      <c r="G3" s="62"/>
    </row>
    <row r="4" spans="1:18" ht="12.6" customHeight="1" x14ac:dyDescent="0.3">
      <c r="O4" s="63" t="str">
        <f>CentralRivers!O4</f>
        <v>If State Aid Reduction = Prior Fiscal Year Amount</v>
      </c>
      <c r="P4" s="64"/>
      <c r="Q4" s="64"/>
      <c r="R4" s="64"/>
    </row>
    <row r="5" spans="1:18" ht="43.2" x14ac:dyDescent="0.3">
      <c r="B5" s="6" t="str">
        <f>CentralRivers!B5</f>
        <v>SSA Rate</v>
      </c>
      <c r="C5" s="8" t="str">
        <f>CentralRivers!C5</f>
        <v>Special Education Support</v>
      </c>
      <c r="D5" s="8" t="str">
        <f>CentralRivers!D5</f>
        <v>Special Education Support Adj.</v>
      </c>
      <c r="E5" s="8" t="str">
        <f>CentralRivers!E5</f>
        <v>Media Services</v>
      </c>
      <c r="F5" s="8" t="str">
        <f>CentralRivers!F5</f>
        <v>Ed. Services</v>
      </c>
      <c r="G5" s="8" t="str">
        <f>CentralRivers!G5</f>
        <v>Sharing</v>
      </c>
      <c r="H5" s="8" t="str">
        <f>CentralRivers!H5</f>
        <v>Teacher Salary Supp.</v>
      </c>
      <c r="I5" s="8" t="str">
        <f>CentralRivers!I5</f>
        <v>Professional Development Supp.</v>
      </c>
      <c r="J5" s="8" t="str">
        <f>CentralRivers!J5</f>
        <v>State Aid Reduction To AEAs</v>
      </c>
      <c r="K5" s="20" t="str">
        <f>CentralRivers!K5</f>
        <v>Total School Aid Funding</v>
      </c>
      <c r="L5" s="20" t="str">
        <f>CentralRivers!L5</f>
        <v>Change Compared to FY 2024</v>
      </c>
      <c r="M5" s="20" t="str">
        <f>CentralRivers!M5</f>
        <v>% Change Compared to FY 2024</v>
      </c>
      <c r="O5" s="49" t="s">
        <v>34</v>
      </c>
      <c r="P5" s="49" t="s">
        <v>24</v>
      </c>
      <c r="Q5" s="49" t="str">
        <f>CentralRivers!Q5</f>
        <v>Change Compared to FY 2024</v>
      </c>
      <c r="R5" s="49" t="str">
        <f>CentralRivers!R5</f>
        <v>% Change Compared to FY 2024</v>
      </c>
    </row>
    <row r="6" spans="1:18" ht="10.199999999999999" customHeight="1" x14ac:dyDescent="0.3">
      <c r="K6" s="15"/>
      <c r="L6" s="15"/>
      <c r="M6" s="15"/>
      <c r="O6" s="50"/>
      <c r="P6" s="50"/>
      <c r="Q6" s="50"/>
      <c r="R6" s="50"/>
    </row>
    <row r="7" spans="1:18" x14ac:dyDescent="0.3">
      <c r="A7" s="9" t="str">
        <f>Keystone!$A$7</f>
        <v>FY 2024</v>
      </c>
      <c r="C7" s="3">
        <f>FY_2024!F6</f>
        <v>17350789</v>
      </c>
      <c r="D7" s="3">
        <f>FY_2024!G6</f>
        <v>103802</v>
      </c>
      <c r="E7" s="3">
        <f>FY_2024!H6</f>
        <v>2988923</v>
      </c>
      <c r="F7" s="3">
        <f>FY_2024!I6</f>
        <v>3266212</v>
      </c>
      <c r="G7" s="3">
        <f>FY_2024!J6</f>
        <v>0</v>
      </c>
      <c r="H7" s="3">
        <f>FY_2024!K6</f>
        <v>1594669</v>
      </c>
      <c r="I7" s="3">
        <f>FY_2024!L6</f>
        <v>187087</v>
      </c>
      <c r="J7" s="3">
        <f>-FY_2024!M6</f>
        <v>-3008239</v>
      </c>
      <c r="K7" s="17">
        <f>SUM(C7:J7)</f>
        <v>22483243</v>
      </c>
      <c r="L7" s="15"/>
      <c r="M7" s="15"/>
      <c r="O7" s="50"/>
      <c r="P7" s="50"/>
      <c r="Q7" s="50"/>
      <c r="R7" s="50"/>
    </row>
    <row r="8" spans="1:18" x14ac:dyDescent="0.3">
      <c r="C8" s="3"/>
      <c r="D8" s="3"/>
      <c r="E8" s="3"/>
      <c r="F8" s="3"/>
      <c r="G8" s="3"/>
      <c r="H8" s="3"/>
      <c r="I8" s="3"/>
      <c r="J8" s="3"/>
      <c r="K8" s="17"/>
      <c r="L8" s="15"/>
      <c r="M8" s="15"/>
      <c r="O8" s="50"/>
      <c r="P8" s="50"/>
      <c r="Q8" s="50"/>
      <c r="R8" s="50"/>
    </row>
    <row r="9" spans="1:18" x14ac:dyDescent="0.3">
      <c r="A9" s="9" t="str">
        <f>Keystone!$A$9</f>
        <v>Est. FY 2025</v>
      </c>
      <c r="B9" s="19">
        <f>Driver!C5</f>
        <v>2.5000000000000001E-2</v>
      </c>
      <c r="C9" s="3">
        <f>Driver!C11</f>
        <v>17494029</v>
      </c>
      <c r="D9" s="3">
        <f>Driver!D11</f>
        <v>106079</v>
      </c>
      <c r="E9" s="3">
        <f>Driver!E11</f>
        <v>3039340</v>
      </c>
      <c r="F9" s="3">
        <f>Driver!F11</f>
        <v>3322556</v>
      </c>
      <c r="G9" s="3">
        <f>Driver!G11</f>
        <v>30000</v>
      </c>
      <c r="H9" s="3">
        <f>Driver!H11</f>
        <v>1615159</v>
      </c>
      <c r="I9" s="3">
        <f>Driver!I11</f>
        <v>189457</v>
      </c>
      <c r="J9" s="3">
        <f>Driver!J11</f>
        <v>-767782</v>
      </c>
      <c r="K9" s="22">
        <f>SUM(C9:J9)</f>
        <v>25028838</v>
      </c>
      <c r="L9" s="23">
        <f>K9-K7</f>
        <v>2545595</v>
      </c>
      <c r="M9" s="24">
        <f>L9/K7</f>
        <v>0.11322187817833931</v>
      </c>
      <c r="O9" s="53">
        <f>J7</f>
        <v>-3008239</v>
      </c>
      <c r="P9" s="53">
        <f>C9+D9+E9+F9+G9+H9+I9+O9</f>
        <v>22788381</v>
      </c>
      <c r="Q9" s="53">
        <f>P9-K7</f>
        <v>305138</v>
      </c>
      <c r="R9" s="51">
        <f>Q9/K7</f>
        <v>1.3571796559775652E-2</v>
      </c>
    </row>
    <row r="10" spans="1:18" x14ac:dyDescent="0.3">
      <c r="K10" s="15"/>
      <c r="L10" s="15"/>
      <c r="M10" s="21"/>
      <c r="O10" s="54"/>
      <c r="P10" s="54"/>
      <c r="Q10" s="54"/>
      <c r="R10" s="52"/>
    </row>
    <row r="11" spans="1:18" x14ac:dyDescent="0.3">
      <c r="A11" s="9" t="str">
        <f>Keystone!$A$11</f>
        <v>Est. FY 2025</v>
      </c>
      <c r="B11" s="19">
        <f>Driver!C23</f>
        <v>0.02</v>
      </c>
      <c r="C11" s="3">
        <f>Driver!C29</f>
        <v>17408909</v>
      </c>
      <c r="D11" s="3">
        <f>Driver!D29</f>
        <v>156162</v>
      </c>
      <c r="E11" s="3">
        <f>Driver!E29</f>
        <v>3024507</v>
      </c>
      <c r="F11" s="3">
        <f>Driver!F29</f>
        <v>3305813</v>
      </c>
      <c r="G11" s="3">
        <f>Driver!G29</f>
        <v>30000</v>
      </c>
      <c r="H11" s="3">
        <f>Driver!H29</f>
        <v>1608300</v>
      </c>
      <c r="I11" s="3">
        <f>Driver!I29</f>
        <v>188652</v>
      </c>
      <c r="J11" s="3">
        <f>Driver!J29</f>
        <v>-767782</v>
      </c>
      <c r="K11" s="22">
        <f>SUM(C11:J11)</f>
        <v>24954561</v>
      </c>
      <c r="L11" s="23">
        <f>K11-K7</f>
        <v>2471318</v>
      </c>
      <c r="M11" s="24">
        <f>L11/K7</f>
        <v>0.10991821775888826</v>
      </c>
      <c r="O11" s="53">
        <f>J7</f>
        <v>-3008239</v>
      </c>
      <c r="P11" s="53">
        <f>C11+D11+E11+F11+G11+H11+I11+O11</f>
        <v>22714104</v>
      </c>
      <c r="Q11" s="53">
        <f>P11-K7</f>
        <v>230861</v>
      </c>
      <c r="R11" s="51">
        <f>Q11/K7</f>
        <v>1.0268136140324596E-2</v>
      </c>
    </row>
    <row r="13" spans="1:18" x14ac:dyDescent="0.3">
      <c r="A13" s="16" t="str">
        <f>Keystone!$A$13</f>
        <v>*Estimates are preliminary and subject to change.</v>
      </c>
    </row>
    <row r="14" spans="1:18" x14ac:dyDescent="0.3">
      <c r="A14" s="30" t="str">
        <f>Keystone!$A$14</f>
        <v>Sources:</v>
      </c>
    </row>
    <row r="15" spans="1:18" x14ac:dyDescent="0.3">
      <c r="A15" s="30" t="str">
        <f>Keystone!$A$15</f>
        <v>Iowa Department of Management, School Aid file and IASB estimates (based on IASB_Schlaid_FY24_FY29_2.2.sas).</v>
      </c>
    </row>
    <row r="16" spans="1:18" x14ac:dyDescent="0.3">
      <c r="A16" s="16"/>
    </row>
    <row r="17" spans="1:1" x14ac:dyDescent="0.3">
      <c r="A17" s="16" t="str">
        <f>Keystone!$A$18</f>
        <v>Copyright 2024 - Iowa Association of School Boards</v>
      </c>
    </row>
  </sheetData>
  <mergeCells count="3">
    <mergeCell ref="F3:G3"/>
    <mergeCell ref="O4:R4"/>
    <mergeCell ref="C1:M1"/>
  </mergeCells>
  <hyperlinks>
    <hyperlink ref="F3:G3" location="Driver!B2" display="Back to Main Tab" xr:uid="{00000000-0004-0000-1000-000000000000}"/>
  </hyperlinks>
  <pageMargins left="0.32" right="0.35" top="0.75" bottom="0.55000000000000004" header="0.3" footer="0.3"/>
  <pageSetup scale="65" orientation="landscape" r:id="rId1"/>
  <headerFooter>
    <oddFooter>&amp;LIASB:  &amp;F  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17"/>
  <sheetViews>
    <sheetView workbookViewId="0">
      <selection activeCell="C1" sqref="C1:M1"/>
    </sheetView>
  </sheetViews>
  <sheetFormatPr defaultRowHeight="14.4" x14ac:dyDescent="0.3"/>
  <cols>
    <col min="1" max="1" width="11.88671875" style="9" customWidth="1"/>
    <col min="2" max="2" width="7.5546875" customWidth="1"/>
    <col min="3" max="3" width="13.6640625" customWidth="1"/>
    <col min="4" max="4" width="11.6640625" customWidth="1"/>
    <col min="5" max="5" width="13.6640625" bestFit="1" customWidth="1"/>
    <col min="6" max="6" width="12.44140625" customWidth="1"/>
    <col min="7" max="7" width="8.5546875" customWidth="1"/>
    <col min="8" max="8" width="11.33203125" customWidth="1"/>
    <col min="9" max="10" width="12.88671875" customWidth="1"/>
    <col min="11" max="11" width="14.6640625" bestFit="1" customWidth="1"/>
    <col min="12" max="12" width="13.88671875" customWidth="1"/>
    <col min="13" max="13" width="11" customWidth="1"/>
    <col min="14" max="14" width="1" customWidth="1"/>
    <col min="15" max="15" width="12.33203125" customWidth="1"/>
    <col min="16" max="16" width="12.6640625" customWidth="1"/>
    <col min="17" max="17" width="10.44140625" customWidth="1"/>
    <col min="18" max="18" width="10.109375" customWidth="1"/>
  </cols>
  <sheetData>
    <row r="1" spans="1:18" ht="15.75" customHeight="1" x14ac:dyDescent="0.3">
      <c r="C1" s="65" t="str">
        <f>Miss_Bend!C1</f>
        <v>Iowa Association of School Boards:  Supplemental State Aid Funding for Area Education Agencies FY 2024 and Estimated FY 2025</v>
      </c>
      <c r="D1" s="65"/>
      <c r="E1" s="65"/>
      <c r="F1" s="65"/>
      <c r="G1" s="65"/>
      <c r="H1" s="65"/>
      <c r="I1" s="65"/>
      <c r="J1" s="65"/>
      <c r="K1" s="65"/>
      <c r="L1" s="65"/>
      <c r="M1" s="66"/>
    </row>
    <row r="3" spans="1:18" ht="18" x14ac:dyDescent="0.35">
      <c r="C3" s="13" t="str">
        <f>Driver!B12</f>
        <v>GRANT WOOD AEA</v>
      </c>
      <c r="F3" s="62" t="s">
        <v>30</v>
      </c>
      <c r="G3" s="62"/>
    </row>
    <row r="4" spans="1:18" ht="12.6" customHeight="1" x14ac:dyDescent="0.3">
      <c r="O4" s="63" t="str">
        <f>Miss_Bend!O4</f>
        <v>If State Aid Reduction = Prior Fiscal Year Amount</v>
      </c>
      <c r="P4" s="64"/>
      <c r="Q4" s="64"/>
      <c r="R4" s="64"/>
    </row>
    <row r="5" spans="1:18" ht="43.2" x14ac:dyDescent="0.3">
      <c r="B5" s="8" t="str">
        <f>Miss_Bend!B5</f>
        <v>SSA Rate</v>
      </c>
      <c r="C5" s="8" t="str">
        <f>Miss_Bend!C5</f>
        <v>Special Education Support</v>
      </c>
      <c r="D5" s="8" t="str">
        <f>Miss_Bend!D5</f>
        <v>Special Education Support Adj.</v>
      </c>
      <c r="E5" s="8" t="str">
        <f>Miss_Bend!E5</f>
        <v>Media Services</v>
      </c>
      <c r="F5" s="8" t="str">
        <f>Miss_Bend!F5</f>
        <v>Ed. Services</v>
      </c>
      <c r="G5" s="8" t="str">
        <f>Miss_Bend!G5</f>
        <v>Sharing</v>
      </c>
      <c r="H5" s="8" t="str">
        <f>Miss_Bend!H5</f>
        <v>Teacher Salary Supp.</v>
      </c>
      <c r="I5" s="8" t="str">
        <f>Miss_Bend!I5</f>
        <v>Professional Development Supp.</v>
      </c>
      <c r="J5" s="8" t="str">
        <f>Miss_Bend!J5</f>
        <v>State Aid Reduction To AEAs</v>
      </c>
      <c r="K5" s="20" t="str">
        <f>Miss_Bend!K5</f>
        <v>Total School Aid Funding</v>
      </c>
      <c r="L5" s="20" t="str">
        <f>Miss_Bend!L5</f>
        <v>Change Compared to FY 2024</v>
      </c>
      <c r="M5" s="20" t="str">
        <f>Miss_Bend!M5</f>
        <v>% Change Compared to FY 2024</v>
      </c>
      <c r="O5" s="49" t="s">
        <v>34</v>
      </c>
      <c r="P5" s="49" t="s">
        <v>24</v>
      </c>
      <c r="Q5" s="49" t="str">
        <f>Miss_Bend!Q5</f>
        <v>Change Compared to FY 2024</v>
      </c>
      <c r="R5" s="49" t="str">
        <f>Miss_Bend!R5</f>
        <v>% Change Compared to FY 2024</v>
      </c>
    </row>
    <row r="6" spans="1:18" ht="10.199999999999999" customHeight="1" x14ac:dyDescent="0.3">
      <c r="K6" s="15"/>
      <c r="L6" s="15"/>
      <c r="M6" s="15"/>
      <c r="O6" s="50"/>
      <c r="P6" s="50"/>
      <c r="Q6" s="50"/>
      <c r="R6" s="50"/>
    </row>
    <row r="7" spans="1:18" x14ac:dyDescent="0.3">
      <c r="A7" s="9" t="str">
        <f>Keystone!$A$7</f>
        <v>FY 2024</v>
      </c>
      <c r="C7" s="3">
        <f>FY_2024!F7</f>
        <v>25932153</v>
      </c>
      <c r="D7" s="3">
        <f>FY_2024!G7</f>
        <v>80473</v>
      </c>
      <c r="E7" s="3">
        <f>FY_2024!H7</f>
        <v>4580882</v>
      </c>
      <c r="F7" s="3">
        <f>FY_2024!I7</f>
        <v>5035582</v>
      </c>
      <c r="G7" s="3">
        <f>FY_2024!J7</f>
        <v>30001</v>
      </c>
      <c r="H7" s="3">
        <f>FY_2024!K7</f>
        <v>2456867</v>
      </c>
      <c r="I7" s="3">
        <f>FY_2024!L7</f>
        <v>286050</v>
      </c>
      <c r="J7" s="3">
        <f>-FY_2024!M7</f>
        <v>-3820494</v>
      </c>
      <c r="K7" s="17">
        <f>SUM(C7:J7)</f>
        <v>34581514</v>
      </c>
      <c r="L7" s="15"/>
      <c r="M7" s="15"/>
      <c r="O7" s="50"/>
      <c r="P7" s="50"/>
      <c r="Q7" s="50"/>
      <c r="R7" s="50"/>
    </row>
    <row r="8" spans="1:18" x14ac:dyDescent="0.3">
      <c r="C8" s="3"/>
      <c r="D8" s="3"/>
      <c r="E8" s="3"/>
      <c r="F8" s="3"/>
      <c r="G8" s="3"/>
      <c r="H8" s="3"/>
      <c r="I8" s="3"/>
      <c r="J8" s="3"/>
      <c r="K8" s="17"/>
      <c r="L8" s="15"/>
      <c r="M8" s="15"/>
      <c r="O8" s="50"/>
      <c r="P8" s="50"/>
      <c r="Q8" s="50"/>
      <c r="R8" s="50"/>
    </row>
    <row r="9" spans="1:18" x14ac:dyDescent="0.3">
      <c r="A9" s="9" t="str">
        <f>Keystone!$A$9</f>
        <v>Est. FY 2025</v>
      </c>
      <c r="B9" s="19">
        <f>Driver!C5</f>
        <v>2.5000000000000001E-2</v>
      </c>
      <c r="C9" s="3">
        <f>Driver!C12</f>
        <v>26483558</v>
      </c>
      <c r="D9" s="3">
        <f>Driver!D12</f>
        <v>106540</v>
      </c>
      <c r="E9" s="3">
        <f>Driver!E12</f>
        <v>4714605</v>
      </c>
      <c r="F9" s="3">
        <f>Driver!F12</f>
        <v>5183772</v>
      </c>
      <c r="G9" s="3">
        <f>Driver!G12</f>
        <v>30000</v>
      </c>
      <c r="H9" s="3">
        <f>Driver!H12</f>
        <v>2515498</v>
      </c>
      <c r="I9" s="3">
        <f>Driver!I12</f>
        <v>292879</v>
      </c>
      <c r="J9" s="3">
        <f>Driver!J12</f>
        <v>-963257</v>
      </c>
      <c r="K9" s="22">
        <f>SUM(C9:J9)</f>
        <v>38363595</v>
      </c>
      <c r="L9" s="23">
        <f>K9-K7</f>
        <v>3782081</v>
      </c>
      <c r="M9" s="24">
        <f>L9/K7</f>
        <v>0.10936713181499225</v>
      </c>
      <c r="O9" s="53">
        <f>J7</f>
        <v>-3820494</v>
      </c>
      <c r="P9" s="53">
        <f>C9+D9+E9+F9+G9+H9+I9+O9</f>
        <v>35506358</v>
      </c>
      <c r="Q9" s="53">
        <f>P9-K7</f>
        <v>924844</v>
      </c>
      <c r="R9" s="51">
        <f>Q9/K7</f>
        <v>2.6743884030063E-2</v>
      </c>
    </row>
    <row r="10" spans="1:18" x14ac:dyDescent="0.3">
      <c r="K10" s="15"/>
      <c r="L10" s="15"/>
      <c r="M10" s="21"/>
      <c r="O10" s="54"/>
      <c r="P10" s="54"/>
      <c r="Q10" s="54"/>
      <c r="R10" s="52"/>
    </row>
    <row r="11" spans="1:18" x14ac:dyDescent="0.3">
      <c r="A11" s="9" t="str">
        <f>Keystone!$A$11</f>
        <v>Est. FY 2025</v>
      </c>
      <c r="B11" s="19">
        <f>Driver!C23</f>
        <v>0.02</v>
      </c>
      <c r="C11" s="3">
        <f>Driver!C30</f>
        <v>26353981</v>
      </c>
      <c r="D11" s="3">
        <f>Driver!D30</f>
        <v>124803</v>
      </c>
      <c r="E11" s="3">
        <f>Driver!E30</f>
        <v>4691665</v>
      </c>
      <c r="F11" s="3">
        <f>Driver!F30</f>
        <v>5157871</v>
      </c>
      <c r="G11" s="3">
        <f>Driver!G30</f>
        <v>30000</v>
      </c>
      <c r="H11" s="3">
        <f>Driver!H30</f>
        <v>2503378</v>
      </c>
      <c r="I11" s="3">
        <f>Driver!I30</f>
        <v>291455</v>
      </c>
      <c r="J11" s="3">
        <f>Driver!J30</f>
        <v>-963257</v>
      </c>
      <c r="K11" s="22">
        <f>SUM(C11:J11)</f>
        <v>38189896</v>
      </c>
      <c r="L11" s="23">
        <f>K11-K7</f>
        <v>3608382</v>
      </c>
      <c r="M11" s="24">
        <f>L11/K7</f>
        <v>0.1043442458881355</v>
      </c>
      <c r="O11" s="53">
        <f>J7</f>
        <v>-3820494</v>
      </c>
      <c r="P11" s="53">
        <f>C11+D11+E11+F11+G11+H11+I11+O11</f>
        <v>35332659</v>
      </c>
      <c r="Q11" s="53">
        <f>P11-K7</f>
        <v>751145</v>
      </c>
      <c r="R11" s="51">
        <f>Q11/K7</f>
        <v>2.172099810320624E-2</v>
      </c>
    </row>
    <row r="13" spans="1:18" x14ac:dyDescent="0.3">
      <c r="A13" s="16" t="str">
        <f>Keystone!$A$13</f>
        <v>*Estimates are preliminary and subject to change.</v>
      </c>
    </row>
    <row r="14" spans="1:18" x14ac:dyDescent="0.3">
      <c r="A14" s="30" t="str">
        <f>Keystone!$A$14</f>
        <v>Sources:</v>
      </c>
    </row>
    <row r="15" spans="1:18" x14ac:dyDescent="0.3">
      <c r="A15" s="30" t="str">
        <f>Keystone!$A$15</f>
        <v>Iowa Department of Management, School Aid file and IASB estimates (based on IASB_Schlaid_FY24_FY29_2.2.sas).</v>
      </c>
    </row>
    <row r="16" spans="1:18" x14ac:dyDescent="0.3">
      <c r="A16" s="16"/>
    </row>
    <row r="17" spans="1:1" x14ac:dyDescent="0.3">
      <c r="A17" s="16" t="str">
        <f>Keystone!$A$18</f>
        <v>Copyright 2024 - Iowa Association of School Boards</v>
      </c>
    </row>
  </sheetData>
  <mergeCells count="3">
    <mergeCell ref="F3:G3"/>
    <mergeCell ref="O4:R4"/>
    <mergeCell ref="C1:M1"/>
  </mergeCells>
  <hyperlinks>
    <hyperlink ref="F3:G3" location="Driver!B2" display="Back to Main Tab" xr:uid="{00000000-0004-0000-1100-000000000000}"/>
  </hyperlinks>
  <pageMargins left="0.32" right="0.35" top="0.75" bottom="0.55000000000000004" header="0.3" footer="0.3"/>
  <pageSetup scale="82" orientation="landscape" r:id="rId1"/>
  <headerFooter>
    <oddFooter>&amp;LIASB:  &amp;F  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17"/>
  <sheetViews>
    <sheetView workbookViewId="0">
      <selection activeCell="C1" sqref="C1:M1"/>
    </sheetView>
  </sheetViews>
  <sheetFormatPr defaultRowHeight="14.4" x14ac:dyDescent="0.3"/>
  <cols>
    <col min="1" max="1" width="11.88671875" style="9" customWidth="1"/>
    <col min="2" max="2" width="7.5546875" customWidth="1"/>
    <col min="3" max="3" width="13.6640625" customWidth="1"/>
    <col min="4" max="4" width="11.6640625" customWidth="1"/>
    <col min="5" max="5" width="13.6640625" bestFit="1" customWidth="1"/>
    <col min="6" max="6" width="12.44140625" customWidth="1"/>
    <col min="7" max="7" width="7.6640625" customWidth="1"/>
    <col min="8" max="8" width="11.33203125" customWidth="1"/>
    <col min="9" max="10" width="12.88671875" customWidth="1"/>
    <col min="11" max="11" width="14.6640625" bestFit="1" customWidth="1"/>
    <col min="12" max="12" width="13.88671875" customWidth="1"/>
    <col min="13" max="13" width="11" customWidth="1"/>
    <col min="14" max="14" width="1" customWidth="1"/>
    <col min="15" max="15" width="12.33203125" customWidth="1"/>
    <col min="16" max="16" width="12.6640625" customWidth="1"/>
    <col min="17" max="17" width="11.5546875" customWidth="1"/>
    <col min="18" max="18" width="10.109375" customWidth="1"/>
  </cols>
  <sheetData>
    <row r="1" spans="1:18" ht="15.75" customHeight="1" x14ac:dyDescent="0.3">
      <c r="C1" s="65" t="str">
        <f>GrantWood!C1</f>
        <v>Iowa Association of School Boards:  Supplemental State Aid Funding for Area Education Agencies FY 2024 and Estimated FY 2025</v>
      </c>
      <c r="D1" s="65"/>
      <c r="E1" s="65"/>
      <c r="F1" s="65"/>
      <c r="G1" s="65"/>
      <c r="H1" s="65"/>
      <c r="I1" s="65"/>
      <c r="J1" s="65"/>
      <c r="K1" s="65"/>
      <c r="L1" s="65"/>
      <c r="M1" s="66"/>
    </row>
    <row r="3" spans="1:18" ht="18" x14ac:dyDescent="0.35">
      <c r="C3" s="13" t="str">
        <f>Driver!B13</f>
        <v>HEARTLAND AEA</v>
      </c>
      <c r="F3" s="62" t="s">
        <v>30</v>
      </c>
      <c r="G3" s="62"/>
    </row>
    <row r="4" spans="1:18" ht="12.6" customHeight="1" x14ac:dyDescent="0.3">
      <c r="O4" s="63" t="str">
        <f>GrantWood!O4</f>
        <v>If State Aid Reduction = Prior Fiscal Year Amount</v>
      </c>
      <c r="P4" s="64"/>
      <c r="Q4" s="64"/>
      <c r="R4" s="64"/>
    </row>
    <row r="5" spans="1:18" ht="43.2" x14ac:dyDescent="0.3">
      <c r="B5" s="8" t="str">
        <f>GrantWood!B5</f>
        <v>SSA Rate</v>
      </c>
      <c r="C5" s="8" t="str">
        <f>GrantWood!C5</f>
        <v>Special Education Support</v>
      </c>
      <c r="D5" s="8" t="str">
        <f>GrantWood!D5</f>
        <v>Special Education Support Adj.</v>
      </c>
      <c r="E5" s="8" t="str">
        <f>GrantWood!E5</f>
        <v>Media Services</v>
      </c>
      <c r="F5" s="8" t="str">
        <f>GrantWood!F5</f>
        <v>Ed. Services</v>
      </c>
      <c r="G5" s="8" t="str">
        <f>GrantWood!G5</f>
        <v>Sharing</v>
      </c>
      <c r="H5" s="8" t="str">
        <f>GrantWood!H5</f>
        <v>Teacher Salary Supp.</v>
      </c>
      <c r="I5" s="8" t="str">
        <f>GrantWood!I5</f>
        <v>Professional Development Supp.</v>
      </c>
      <c r="J5" s="8" t="str">
        <f>GrantWood!J5</f>
        <v>State Aid Reduction To AEAs</v>
      </c>
      <c r="K5" s="20" t="str">
        <f>GrantWood!K5</f>
        <v>Total School Aid Funding</v>
      </c>
      <c r="L5" s="20" t="str">
        <f>GrantWood!L5</f>
        <v>Change Compared to FY 2024</v>
      </c>
      <c r="M5" s="20" t="str">
        <f>GrantWood!M5</f>
        <v>% Change Compared to FY 2024</v>
      </c>
      <c r="O5" s="49" t="s">
        <v>34</v>
      </c>
      <c r="P5" s="49" t="s">
        <v>24</v>
      </c>
      <c r="Q5" s="49" t="str">
        <f>GrantWood!Q5</f>
        <v>Change Compared to FY 2024</v>
      </c>
      <c r="R5" s="49" t="str">
        <f>GrantWood!R5</f>
        <v>% Change Compared to FY 2024</v>
      </c>
    </row>
    <row r="6" spans="1:18" ht="10.199999999999999" customHeight="1" x14ac:dyDescent="0.3">
      <c r="K6" s="15"/>
      <c r="L6" s="15"/>
      <c r="M6" s="15"/>
      <c r="O6" s="50"/>
      <c r="P6" s="50"/>
      <c r="Q6" s="50"/>
      <c r="R6" s="50"/>
    </row>
    <row r="7" spans="1:18" x14ac:dyDescent="0.3">
      <c r="A7" s="9" t="str">
        <f>Keystone!$A$7</f>
        <v>FY 2024</v>
      </c>
      <c r="C7" s="3">
        <f>FY_2024!F8</f>
        <v>52548033</v>
      </c>
      <c r="D7" s="3">
        <f>FY_2024!G8</f>
        <v>23368</v>
      </c>
      <c r="E7" s="3">
        <f>FY_2024!H8</f>
        <v>9430082</v>
      </c>
      <c r="F7" s="3">
        <f>FY_2024!I8</f>
        <v>10358799</v>
      </c>
      <c r="G7" s="3">
        <f>FY_2024!J8</f>
        <v>0</v>
      </c>
      <c r="H7" s="3">
        <f>FY_2024!K8</f>
        <v>4475270</v>
      </c>
      <c r="I7" s="3">
        <f>FY_2024!L8</f>
        <v>561231</v>
      </c>
      <c r="J7" s="3">
        <f>-FY_2024!M8</f>
        <v>-6768337</v>
      </c>
      <c r="K7" s="17">
        <f>SUM(C7:J7)</f>
        <v>70628446</v>
      </c>
      <c r="L7" s="15"/>
      <c r="M7" s="15"/>
      <c r="O7" s="50"/>
      <c r="P7" s="50"/>
      <c r="Q7" s="50"/>
      <c r="R7" s="50"/>
    </row>
    <row r="8" spans="1:18" x14ac:dyDescent="0.3">
      <c r="C8" s="3"/>
      <c r="D8" s="3"/>
      <c r="E8" s="3"/>
      <c r="F8" s="3"/>
      <c r="G8" s="3"/>
      <c r="H8" s="3"/>
      <c r="I8" s="3"/>
      <c r="J8" s="3"/>
      <c r="K8" s="17"/>
      <c r="L8" s="15"/>
      <c r="M8" s="15"/>
      <c r="O8" s="50"/>
      <c r="P8" s="50"/>
      <c r="Q8" s="50"/>
      <c r="R8" s="50"/>
    </row>
    <row r="9" spans="1:18" x14ac:dyDescent="0.3">
      <c r="A9" s="9" t="str">
        <f>Keystone!$A$9</f>
        <v>Est. FY 2025</v>
      </c>
      <c r="B9" s="19">
        <f>Driver!C5</f>
        <v>2.5000000000000001E-2</v>
      </c>
      <c r="C9" s="3">
        <f>Driver!C13</f>
        <v>53988712</v>
      </c>
      <c r="D9" s="3">
        <f>Driver!D13</f>
        <v>47405</v>
      </c>
      <c r="E9" s="3">
        <f>Driver!E13</f>
        <v>9710191</v>
      </c>
      <c r="F9" s="3">
        <f>Driver!F13</f>
        <v>10669149</v>
      </c>
      <c r="G9" s="3">
        <f>Driver!G13</f>
        <v>0</v>
      </c>
      <c r="H9" s="3">
        <f>Driver!H13</f>
        <v>4623627</v>
      </c>
      <c r="I9" s="3">
        <f>Driver!I13</f>
        <v>578590</v>
      </c>
      <c r="J9" s="3">
        <f>Driver!J13</f>
        <v>-1693567</v>
      </c>
      <c r="K9" s="22">
        <f>SUM(C9:J9)</f>
        <v>77924107</v>
      </c>
      <c r="L9" s="23">
        <f>K9-K7</f>
        <v>7295661</v>
      </c>
      <c r="M9" s="24">
        <f>L9/K7</f>
        <v>0.10329635455946461</v>
      </c>
      <c r="O9" s="53">
        <f>J7</f>
        <v>-6768337</v>
      </c>
      <c r="P9" s="53">
        <f>C9+D9+E9+F9+G9+H9+I9+O9</f>
        <v>72849337</v>
      </c>
      <c r="Q9" s="53">
        <f>P9-K7</f>
        <v>2220891</v>
      </c>
      <c r="R9" s="51">
        <f>Q9/K7</f>
        <v>3.1444709968558561E-2</v>
      </c>
    </row>
    <row r="10" spans="1:18" x14ac:dyDescent="0.3">
      <c r="K10" s="15"/>
      <c r="L10" s="15"/>
      <c r="M10" s="21"/>
      <c r="O10" s="54"/>
      <c r="P10" s="54"/>
      <c r="Q10" s="54"/>
      <c r="R10" s="52"/>
    </row>
    <row r="11" spans="1:18" x14ac:dyDescent="0.3">
      <c r="A11" s="9" t="str">
        <f>Keystone!$A$11</f>
        <v>Est. FY 2025</v>
      </c>
      <c r="B11" s="19">
        <f>Driver!C23</f>
        <v>0.02</v>
      </c>
      <c r="C11" s="3">
        <f>Driver!C31</f>
        <v>53718945</v>
      </c>
      <c r="D11" s="3">
        <f>Driver!D31</f>
        <v>59953</v>
      </c>
      <c r="E11" s="3">
        <f>Driver!E31</f>
        <v>9662858</v>
      </c>
      <c r="F11" s="3">
        <f>Driver!F31</f>
        <v>10615699</v>
      </c>
      <c r="G11" s="3">
        <f>Driver!G31</f>
        <v>0</v>
      </c>
      <c r="H11" s="3">
        <f>Driver!H31</f>
        <v>4596985</v>
      </c>
      <c r="I11" s="3">
        <f>Driver!I31</f>
        <v>575470</v>
      </c>
      <c r="J11" s="3">
        <f>Driver!J31</f>
        <v>-1693567</v>
      </c>
      <c r="K11" s="22">
        <f>SUM(C11:J11)</f>
        <v>77536343</v>
      </c>
      <c r="L11" s="23">
        <f>K11-K7</f>
        <v>6907897</v>
      </c>
      <c r="M11" s="24">
        <f>L11/K7</f>
        <v>9.7806158725338516E-2</v>
      </c>
      <c r="O11" s="53">
        <f>J7</f>
        <v>-6768337</v>
      </c>
      <c r="P11" s="53">
        <f>C11+D11+E11+F11+G11+H11+I11+O11</f>
        <v>72461573</v>
      </c>
      <c r="Q11" s="53">
        <f>P11-K7</f>
        <v>1833127</v>
      </c>
      <c r="R11" s="51">
        <f>Q11/K7</f>
        <v>2.5954514134432463E-2</v>
      </c>
    </row>
    <row r="13" spans="1:18" x14ac:dyDescent="0.3">
      <c r="A13" s="16" t="str">
        <f>Keystone!$A$13</f>
        <v>*Estimates are preliminary and subject to change.</v>
      </c>
    </row>
    <row r="14" spans="1:18" x14ac:dyDescent="0.3">
      <c r="A14" s="30" t="str">
        <f>Keystone!$A$14</f>
        <v>Sources:</v>
      </c>
    </row>
    <row r="15" spans="1:18" x14ac:dyDescent="0.3">
      <c r="A15" s="30" t="str">
        <f>Keystone!$A$15</f>
        <v>Iowa Department of Management, School Aid file and IASB estimates (based on IASB_Schlaid_FY24_FY29_2.2.sas).</v>
      </c>
    </row>
    <row r="16" spans="1:18" x14ac:dyDescent="0.3">
      <c r="A16" s="16"/>
    </row>
    <row r="17" spans="1:1" x14ac:dyDescent="0.3">
      <c r="A17" s="16" t="str">
        <f>Keystone!$A$18</f>
        <v>Copyright 2024 - Iowa Association of School Boards</v>
      </c>
    </row>
  </sheetData>
  <mergeCells count="3">
    <mergeCell ref="F3:G3"/>
    <mergeCell ref="O4:R4"/>
    <mergeCell ref="C1:M1"/>
  </mergeCells>
  <hyperlinks>
    <hyperlink ref="F3:G3" location="Driver!B2" display="Back to Main Tab" xr:uid="{00000000-0004-0000-1200-000000000000}"/>
  </hyperlinks>
  <pageMargins left="0.32" right="0.35" top="0.75" bottom="0.55000000000000004" header="0.3" footer="0.3"/>
  <pageSetup scale="82" orientation="landscape" r:id="rId1"/>
  <headerFooter>
    <oddFooter>&amp;LIASB:  &amp;F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J12" sqref="A4:J12"/>
    </sheetView>
  </sheetViews>
  <sheetFormatPr defaultRowHeight="14.4" x14ac:dyDescent="0.3"/>
  <sheetData>
    <row r="1" spans="1:8" x14ac:dyDescent="0.3">
      <c r="A1" s="48" t="s">
        <v>69</v>
      </c>
      <c r="B1" s="48"/>
      <c r="C1" s="48"/>
    </row>
    <row r="2" spans="1:8" x14ac:dyDescent="0.3">
      <c r="A2" t="s">
        <v>35</v>
      </c>
      <c r="H2" t="s">
        <v>70</v>
      </c>
    </row>
    <row r="4" spans="1:8" x14ac:dyDescent="0.3">
      <c r="A4" t="s">
        <v>71</v>
      </c>
    </row>
    <row r="5" spans="1:8" x14ac:dyDescent="0.3">
      <c r="A5" t="s">
        <v>72</v>
      </c>
    </row>
    <row r="6" spans="1:8" x14ac:dyDescent="0.3">
      <c r="A6" t="s">
        <v>36</v>
      </c>
    </row>
    <row r="7" spans="1:8" x14ac:dyDescent="0.3">
      <c r="A7" t="s">
        <v>37</v>
      </c>
    </row>
    <row r="8" spans="1:8" x14ac:dyDescent="0.3">
      <c r="A8" t="s">
        <v>38</v>
      </c>
    </row>
    <row r="9" spans="1:8" x14ac:dyDescent="0.3">
      <c r="D9" t="s">
        <v>39</v>
      </c>
    </row>
    <row r="10" spans="1:8" x14ac:dyDescent="0.3">
      <c r="A10" t="s">
        <v>37</v>
      </c>
    </row>
    <row r="11" spans="1:8" x14ac:dyDescent="0.3">
      <c r="A11" t="s">
        <v>40</v>
      </c>
    </row>
    <row r="12" spans="1:8" x14ac:dyDescent="0.3">
      <c r="A12" t="s">
        <v>37</v>
      </c>
    </row>
    <row r="15" spans="1:8" x14ac:dyDescent="0.3">
      <c r="A15" t="s">
        <v>41</v>
      </c>
    </row>
    <row r="17" spans="1:4" x14ac:dyDescent="0.3">
      <c r="A17" t="s">
        <v>66</v>
      </c>
    </row>
    <row r="18" spans="1:4" x14ac:dyDescent="0.3">
      <c r="A18" t="s">
        <v>67</v>
      </c>
    </row>
    <row r="19" spans="1:4" x14ac:dyDescent="0.3">
      <c r="A19" t="s">
        <v>36</v>
      </c>
    </row>
    <row r="20" spans="1:4" x14ac:dyDescent="0.3">
      <c r="A20" t="s">
        <v>37</v>
      </c>
    </row>
    <row r="21" spans="1:4" x14ac:dyDescent="0.3">
      <c r="A21" t="s">
        <v>42</v>
      </c>
    </row>
    <row r="22" spans="1:4" x14ac:dyDescent="0.3">
      <c r="D22" t="s">
        <v>53</v>
      </c>
    </row>
    <row r="23" spans="1:4" x14ac:dyDescent="0.3">
      <c r="A23" t="s">
        <v>37</v>
      </c>
    </row>
    <row r="24" spans="1:4" x14ac:dyDescent="0.3">
      <c r="A24" t="s">
        <v>54</v>
      </c>
    </row>
    <row r="25" spans="1:4" x14ac:dyDescent="0.3">
      <c r="A25" t="s">
        <v>37</v>
      </c>
    </row>
  </sheetData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17"/>
  <sheetViews>
    <sheetView workbookViewId="0">
      <selection activeCell="C1" sqref="C1:M1"/>
    </sheetView>
  </sheetViews>
  <sheetFormatPr defaultRowHeight="14.4" x14ac:dyDescent="0.3"/>
  <cols>
    <col min="1" max="1" width="11.88671875" style="9" customWidth="1"/>
    <col min="2" max="2" width="7.5546875" customWidth="1"/>
    <col min="3" max="3" width="13.6640625" customWidth="1"/>
    <col min="4" max="4" width="11.6640625" customWidth="1"/>
    <col min="5" max="5" width="13.6640625" bestFit="1" customWidth="1"/>
    <col min="6" max="6" width="12.44140625" customWidth="1"/>
    <col min="7" max="7" width="8.5546875" bestFit="1" customWidth="1"/>
    <col min="8" max="8" width="11.33203125" customWidth="1"/>
    <col min="9" max="10" width="12.88671875" customWidth="1"/>
    <col min="11" max="11" width="14.6640625" bestFit="1" customWidth="1"/>
    <col min="12" max="12" width="13.88671875" customWidth="1"/>
    <col min="13" max="13" width="11" customWidth="1"/>
    <col min="14" max="14" width="1" customWidth="1"/>
    <col min="15" max="15" width="12.33203125" customWidth="1"/>
    <col min="16" max="16" width="12.6640625" customWidth="1"/>
    <col min="17" max="17" width="11.5546875" customWidth="1"/>
    <col min="18" max="18" width="10.109375" customWidth="1"/>
  </cols>
  <sheetData>
    <row r="1" spans="1:18" ht="15.75" customHeight="1" x14ac:dyDescent="0.3">
      <c r="C1" s="65" t="str">
        <f>Heartland!C1</f>
        <v>Iowa Association of School Boards:  Supplemental State Aid Funding for Area Education Agencies FY 2024 and Estimated FY 2025</v>
      </c>
      <c r="D1" s="65"/>
      <c r="E1" s="65"/>
      <c r="F1" s="65"/>
      <c r="G1" s="65"/>
      <c r="H1" s="65"/>
      <c r="I1" s="65"/>
      <c r="J1" s="65"/>
      <c r="K1" s="65"/>
      <c r="L1" s="65"/>
      <c r="M1" s="66"/>
    </row>
    <row r="3" spans="1:18" ht="18" x14ac:dyDescent="0.35">
      <c r="C3" s="13" t="str">
        <f>Driver!B14</f>
        <v>NORTHWEST AEA</v>
      </c>
      <c r="F3" s="62" t="s">
        <v>30</v>
      </c>
      <c r="G3" s="62"/>
    </row>
    <row r="4" spans="1:18" ht="12.6" customHeight="1" x14ac:dyDescent="0.3">
      <c r="O4" s="63" t="str">
        <f>Heartland!O4</f>
        <v>If State Aid Reduction = Prior Fiscal Year Amount</v>
      </c>
      <c r="P4" s="64"/>
      <c r="Q4" s="64"/>
      <c r="R4" s="64"/>
    </row>
    <row r="5" spans="1:18" ht="43.2" x14ac:dyDescent="0.3">
      <c r="B5" s="8" t="str">
        <f>Heartland!B5</f>
        <v>SSA Rate</v>
      </c>
      <c r="C5" s="8" t="str">
        <f>Heartland!C5</f>
        <v>Special Education Support</v>
      </c>
      <c r="D5" s="8" t="str">
        <f>Heartland!D5</f>
        <v>Special Education Support Adj.</v>
      </c>
      <c r="E5" s="8" t="str">
        <f>Heartland!E5</f>
        <v>Media Services</v>
      </c>
      <c r="F5" s="8" t="str">
        <f>Heartland!F5</f>
        <v>Ed. Services</v>
      </c>
      <c r="G5" s="8" t="str">
        <f>Heartland!G5</f>
        <v>Sharing</v>
      </c>
      <c r="H5" s="8" t="str">
        <f>Heartland!H5</f>
        <v>Teacher Salary Supp.</v>
      </c>
      <c r="I5" s="8" t="str">
        <f>Heartland!I5</f>
        <v>Professional Development Supp.</v>
      </c>
      <c r="J5" s="8" t="str">
        <f>Heartland!J5</f>
        <v>State Aid Reduction To AEAs</v>
      </c>
      <c r="K5" s="20" t="str">
        <f>Heartland!K5</f>
        <v>Total School Aid Funding</v>
      </c>
      <c r="L5" s="20" t="str">
        <f>Heartland!L5</f>
        <v>Change Compared to FY 2024</v>
      </c>
      <c r="M5" s="20" t="str">
        <f>Heartland!M5</f>
        <v>% Change Compared to FY 2024</v>
      </c>
      <c r="O5" s="49" t="s">
        <v>34</v>
      </c>
      <c r="P5" s="49" t="s">
        <v>24</v>
      </c>
      <c r="Q5" s="49" t="str">
        <f>Heartland!Q5</f>
        <v>Change Compared to FY 2024</v>
      </c>
      <c r="R5" s="49" t="str">
        <f>Heartland!R5</f>
        <v>% Change Compared to FY 2024</v>
      </c>
    </row>
    <row r="6" spans="1:18" ht="10.199999999999999" customHeight="1" x14ac:dyDescent="0.3">
      <c r="K6" s="15"/>
      <c r="L6" s="15"/>
      <c r="M6" s="15"/>
      <c r="O6" s="50"/>
      <c r="P6" s="50"/>
      <c r="Q6" s="50"/>
      <c r="R6" s="50"/>
    </row>
    <row r="7" spans="1:18" x14ac:dyDescent="0.3">
      <c r="A7" s="9" t="str">
        <f>Keystone!$A$7</f>
        <v>FY 2024</v>
      </c>
      <c r="C7" s="3">
        <f>FY_2024!F9</f>
        <v>15581675</v>
      </c>
      <c r="D7" s="3">
        <f>FY_2024!G9</f>
        <v>31999</v>
      </c>
      <c r="E7" s="3">
        <f>FY_2024!H9</f>
        <v>2825990</v>
      </c>
      <c r="F7" s="3">
        <f>FY_2024!I9</f>
        <v>3164474</v>
      </c>
      <c r="G7" s="3">
        <f>FY_2024!J9</f>
        <v>30001</v>
      </c>
      <c r="H7" s="3">
        <f>FY_2024!K9</f>
        <v>1570341</v>
      </c>
      <c r="I7" s="3">
        <f>FY_2024!L9</f>
        <v>187192</v>
      </c>
      <c r="J7" s="3">
        <f>-FY_2024!M9</f>
        <v>-2531689</v>
      </c>
      <c r="K7" s="17">
        <f>SUM(C7:J7)</f>
        <v>20859983</v>
      </c>
      <c r="L7" s="15"/>
      <c r="M7" s="15"/>
      <c r="O7" s="50"/>
      <c r="P7" s="50"/>
      <c r="Q7" s="50"/>
      <c r="R7" s="50"/>
    </row>
    <row r="8" spans="1:18" x14ac:dyDescent="0.3">
      <c r="C8" s="3"/>
      <c r="D8" s="3"/>
      <c r="E8" s="3"/>
      <c r="F8" s="3"/>
      <c r="G8" s="3"/>
      <c r="H8" s="3"/>
      <c r="I8" s="3"/>
      <c r="J8" s="3"/>
      <c r="K8" s="17"/>
      <c r="L8" s="15"/>
      <c r="M8" s="15"/>
      <c r="O8" s="50"/>
      <c r="P8" s="50"/>
      <c r="Q8" s="50"/>
      <c r="R8" s="50"/>
    </row>
    <row r="9" spans="1:18" x14ac:dyDescent="0.3">
      <c r="A9" s="9" t="str">
        <f>Keystone!$A$9</f>
        <v>Est. FY 2025</v>
      </c>
      <c r="B9" s="19">
        <f>Driver!C5</f>
        <v>2.5000000000000001E-2</v>
      </c>
      <c r="C9" s="3">
        <f>Driver!C14</f>
        <v>15768694</v>
      </c>
      <c r="D9" s="3">
        <f>Driver!D14</f>
        <v>79923</v>
      </c>
      <c r="E9" s="3">
        <f>Driver!E14</f>
        <v>2875648</v>
      </c>
      <c r="F9" s="3">
        <f>Driver!F14</f>
        <v>3219377</v>
      </c>
      <c r="G9" s="3">
        <f>Driver!G14</f>
        <v>30000</v>
      </c>
      <c r="H9" s="3">
        <f>Driver!H14</f>
        <v>1595683</v>
      </c>
      <c r="I9" s="3">
        <f>Driver!I14</f>
        <v>190119</v>
      </c>
      <c r="J9" s="3">
        <f>Driver!J14</f>
        <v>-647092</v>
      </c>
      <c r="K9" s="22">
        <f>SUM(C9:J9)</f>
        <v>23112352</v>
      </c>
      <c r="L9" s="23">
        <f>K9-K7</f>
        <v>2252369</v>
      </c>
      <c r="M9" s="24">
        <f>L9/K7</f>
        <v>0.10797559135115306</v>
      </c>
      <c r="O9" s="53">
        <f>J7</f>
        <v>-2531689</v>
      </c>
      <c r="P9" s="53">
        <f>C9+D9+E9+F9+G9+H9+I9+O9</f>
        <v>21227755</v>
      </c>
      <c r="Q9" s="53">
        <f>P9-K7</f>
        <v>367772</v>
      </c>
      <c r="R9" s="51">
        <f>Q9/K7</f>
        <v>1.7630503342212694E-2</v>
      </c>
    </row>
    <row r="10" spans="1:18" x14ac:dyDescent="0.3">
      <c r="K10" s="15"/>
      <c r="L10" s="15"/>
      <c r="M10" s="21"/>
      <c r="O10" s="54"/>
      <c r="P10" s="54"/>
      <c r="Q10" s="54"/>
      <c r="R10" s="52"/>
    </row>
    <row r="11" spans="1:18" x14ac:dyDescent="0.3">
      <c r="A11" s="9" t="str">
        <f>Keystone!$A$11</f>
        <v>Est. FY 2025</v>
      </c>
      <c r="B11" s="19">
        <f>Driver!C23</f>
        <v>0.02</v>
      </c>
      <c r="C11" s="3">
        <f>Driver!C32</f>
        <v>15693206</v>
      </c>
      <c r="D11" s="3">
        <f>Driver!D32</f>
        <v>93663</v>
      </c>
      <c r="E11" s="3">
        <f>Driver!E32</f>
        <v>2861718</v>
      </c>
      <c r="F11" s="3">
        <f>Driver!F32</f>
        <v>3203653</v>
      </c>
      <c r="G11" s="3">
        <f>Driver!G32</f>
        <v>30000</v>
      </c>
      <c r="H11" s="3">
        <f>Driver!H32</f>
        <v>1589340</v>
      </c>
      <c r="I11" s="3">
        <f>Driver!I32</f>
        <v>189374</v>
      </c>
      <c r="J11" s="3">
        <f>Driver!J32</f>
        <v>-647092</v>
      </c>
      <c r="K11" s="22">
        <f>SUM(C11:J11)</f>
        <v>23013862</v>
      </c>
      <c r="L11" s="23">
        <f>K11-K7</f>
        <v>2153879</v>
      </c>
      <c r="M11" s="24">
        <f>L11/K7</f>
        <v>0.10325411099328317</v>
      </c>
      <c r="O11" s="53">
        <f>J7</f>
        <v>-2531689</v>
      </c>
      <c r="P11" s="53">
        <f>C11+D11+E11+F11+G11+H11+I11+O11</f>
        <v>21129265</v>
      </c>
      <c r="Q11" s="53">
        <f>P11-K7</f>
        <v>269282</v>
      </c>
      <c r="R11" s="51">
        <f>Q11/K7</f>
        <v>1.2909022984342796E-2</v>
      </c>
    </row>
    <row r="13" spans="1:18" x14ac:dyDescent="0.3">
      <c r="A13" s="16" t="str">
        <f>Keystone!$A$13</f>
        <v>*Estimates are preliminary and subject to change.</v>
      </c>
    </row>
    <row r="14" spans="1:18" x14ac:dyDescent="0.3">
      <c r="A14" s="30" t="str">
        <f>Keystone!$A$14</f>
        <v>Sources:</v>
      </c>
    </row>
    <row r="15" spans="1:18" x14ac:dyDescent="0.3">
      <c r="A15" s="30" t="str">
        <f>Keystone!$A$15</f>
        <v>Iowa Department of Management, School Aid file and IASB estimates (based on IASB_Schlaid_FY24_FY29_2.2.sas).</v>
      </c>
    </row>
    <row r="16" spans="1:18" x14ac:dyDescent="0.3">
      <c r="A16" s="16"/>
    </row>
    <row r="17" spans="1:1" x14ac:dyDescent="0.3">
      <c r="A17" s="16" t="str">
        <f>Keystone!$A$18</f>
        <v>Copyright 2024 - Iowa Association of School Boards</v>
      </c>
    </row>
  </sheetData>
  <mergeCells count="3">
    <mergeCell ref="F3:G3"/>
    <mergeCell ref="O4:R4"/>
    <mergeCell ref="C1:M1"/>
  </mergeCells>
  <hyperlinks>
    <hyperlink ref="F3:G3" location="Driver!B2" display="Back to Main Tab" xr:uid="{00000000-0004-0000-1300-000000000000}"/>
  </hyperlinks>
  <pageMargins left="0.32" right="0.35" top="0.75" bottom="0.55000000000000004" header="0.3" footer="0.3"/>
  <pageSetup scale="82" orientation="landscape" r:id="rId1"/>
  <headerFooter>
    <oddFooter>&amp;LIASB:  &amp;F  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17"/>
  <sheetViews>
    <sheetView workbookViewId="0">
      <selection activeCell="C1" sqref="C1:M1"/>
    </sheetView>
  </sheetViews>
  <sheetFormatPr defaultRowHeight="14.4" x14ac:dyDescent="0.3"/>
  <cols>
    <col min="1" max="1" width="11.88671875" style="9" customWidth="1"/>
    <col min="2" max="2" width="7.5546875" customWidth="1"/>
    <col min="3" max="3" width="13.6640625" customWidth="1"/>
    <col min="4" max="4" width="11.6640625" customWidth="1"/>
    <col min="5" max="5" width="13.6640625" bestFit="1" customWidth="1"/>
    <col min="6" max="6" width="12.44140625" customWidth="1"/>
    <col min="7" max="7" width="8.5546875" bestFit="1" customWidth="1"/>
    <col min="8" max="8" width="11.33203125" customWidth="1"/>
    <col min="9" max="10" width="12.88671875" customWidth="1"/>
    <col min="11" max="11" width="14.6640625" bestFit="1" customWidth="1"/>
    <col min="12" max="12" width="13.88671875" customWidth="1"/>
    <col min="13" max="13" width="11" customWidth="1"/>
    <col min="14" max="14" width="1" customWidth="1"/>
    <col min="15" max="15" width="12.33203125" customWidth="1"/>
    <col min="16" max="16" width="12.6640625" customWidth="1"/>
    <col min="17" max="17" width="11.5546875" customWidth="1"/>
    <col min="18" max="18" width="10.109375" customWidth="1"/>
  </cols>
  <sheetData>
    <row r="1" spans="1:18" ht="15.75" customHeight="1" x14ac:dyDescent="0.3">
      <c r="C1" s="65" t="str">
        <f>Northwest!C1</f>
        <v>Iowa Association of School Boards:  Supplemental State Aid Funding for Area Education Agencies FY 2024 and Estimated FY 2025</v>
      </c>
      <c r="D1" s="65"/>
      <c r="E1" s="65"/>
      <c r="F1" s="65"/>
      <c r="G1" s="65"/>
      <c r="H1" s="65"/>
      <c r="I1" s="65"/>
      <c r="J1" s="65"/>
      <c r="K1" s="65"/>
      <c r="L1" s="65"/>
      <c r="M1" s="66"/>
    </row>
    <row r="3" spans="1:18" ht="18" x14ac:dyDescent="0.35">
      <c r="C3" s="13" t="str">
        <f>Driver!B33</f>
        <v>GREEN HILLS AEA</v>
      </c>
      <c r="F3" s="62" t="s">
        <v>30</v>
      </c>
      <c r="G3" s="62"/>
    </row>
    <row r="4" spans="1:18" ht="12.6" customHeight="1" x14ac:dyDescent="0.3">
      <c r="O4" s="63" t="str">
        <f>Northwest!O4</f>
        <v>If State Aid Reduction = Prior Fiscal Year Amount</v>
      </c>
      <c r="P4" s="64"/>
      <c r="Q4" s="64"/>
      <c r="R4" s="64"/>
    </row>
    <row r="5" spans="1:18" ht="43.2" x14ac:dyDescent="0.3">
      <c r="B5" s="8" t="str">
        <f>Northwest!B5</f>
        <v>SSA Rate</v>
      </c>
      <c r="C5" s="8" t="str">
        <f>Northwest!C5</f>
        <v>Special Education Support</v>
      </c>
      <c r="D5" s="8" t="str">
        <f>Northwest!D5</f>
        <v>Special Education Support Adj.</v>
      </c>
      <c r="E5" s="8" t="str">
        <f>Northwest!E5</f>
        <v>Media Services</v>
      </c>
      <c r="F5" s="8" t="str">
        <f>Northwest!F5</f>
        <v>Ed. Services</v>
      </c>
      <c r="G5" s="8" t="str">
        <f>Northwest!G5</f>
        <v>Sharing</v>
      </c>
      <c r="H5" s="8" t="str">
        <f>Northwest!H5</f>
        <v>Teacher Salary Supp.</v>
      </c>
      <c r="I5" s="8" t="str">
        <f>Northwest!I5</f>
        <v>Professional Development Supp.</v>
      </c>
      <c r="J5" s="8" t="str">
        <f>Northwest!J5</f>
        <v>State Aid Reduction To AEAs</v>
      </c>
      <c r="K5" s="20" t="str">
        <f>Northwest!K5</f>
        <v>Total School Aid Funding</v>
      </c>
      <c r="L5" s="20" t="str">
        <f>Northwest!L5</f>
        <v>Change Compared to FY 2024</v>
      </c>
      <c r="M5" s="20" t="str">
        <f>Northwest!M5</f>
        <v>% Change Compared to FY 2024</v>
      </c>
      <c r="O5" s="49" t="s">
        <v>34</v>
      </c>
      <c r="P5" s="49" t="s">
        <v>24</v>
      </c>
      <c r="Q5" s="49" t="str">
        <f>Northwest!Q5</f>
        <v>Change Compared to FY 2024</v>
      </c>
      <c r="R5" s="49" t="str">
        <f>Northwest!R5</f>
        <v>% Change Compared to FY 2024</v>
      </c>
    </row>
    <row r="6" spans="1:18" ht="10.199999999999999" customHeight="1" x14ac:dyDescent="0.3">
      <c r="K6" s="15"/>
      <c r="L6" s="15"/>
      <c r="M6" s="15"/>
      <c r="O6" s="50"/>
      <c r="P6" s="50"/>
      <c r="Q6" s="50"/>
      <c r="R6" s="50"/>
    </row>
    <row r="7" spans="1:18" x14ac:dyDescent="0.3">
      <c r="A7" s="9" t="str">
        <f>Keystone!$A$7</f>
        <v>FY 2024</v>
      </c>
      <c r="C7" s="3">
        <f>FY_2024!F10</f>
        <v>14310536</v>
      </c>
      <c r="D7" s="3">
        <f>FY_2024!G10</f>
        <v>49638</v>
      </c>
      <c r="E7" s="3">
        <f>FY_2024!H10</f>
        <v>2353258</v>
      </c>
      <c r="F7" s="3">
        <f>FY_2024!I10</f>
        <v>2601568</v>
      </c>
      <c r="G7" s="3">
        <f>FY_2024!J10</f>
        <v>30002</v>
      </c>
      <c r="H7" s="3">
        <f>FY_2024!K10</f>
        <v>1471486</v>
      </c>
      <c r="I7" s="3">
        <f>FY_2024!L10</f>
        <v>158737</v>
      </c>
      <c r="J7" s="3">
        <f>-FY_2024!M10</f>
        <v>-2572196</v>
      </c>
      <c r="K7" s="17">
        <f>SUM(C7:J7)</f>
        <v>18403029</v>
      </c>
      <c r="L7" s="15"/>
      <c r="M7" s="15"/>
      <c r="O7" s="50"/>
      <c r="P7" s="50"/>
      <c r="Q7" s="50"/>
      <c r="R7" s="50"/>
    </row>
    <row r="8" spans="1:18" x14ac:dyDescent="0.3">
      <c r="C8" s="3"/>
      <c r="D8" s="3"/>
      <c r="E8" s="3"/>
      <c r="F8" s="3"/>
      <c r="G8" s="3"/>
      <c r="H8" s="3"/>
      <c r="I8" s="3"/>
      <c r="J8" s="3"/>
      <c r="K8" s="17"/>
      <c r="L8" s="15"/>
      <c r="M8" s="15"/>
      <c r="O8" s="50"/>
      <c r="P8" s="50"/>
      <c r="Q8" s="50"/>
      <c r="R8" s="50"/>
    </row>
    <row r="9" spans="1:18" x14ac:dyDescent="0.3">
      <c r="A9" s="9" t="str">
        <f>Keystone!$A$9</f>
        <v>Est. FY 2025</v>
      </c>
      <c r="B9" s="19">
        <f>Driver!C5</f>
        <v>2.5000000000000001E-2</v>
      </c>
      <c r="C9" s="3">
        <f>Driver!C15</f>
        <v>14587350</v>
      </c>
      <c r="D9" s="3">
        <f>Driver!D15</f>
        <v>101172</v>
      </c>
      <c r="E9" s="3">
        <f>Driver!E15</f>
        <v>2402307</v>
      </c>
      <c r="F9" s="3">
        <f>Driver!F15</f>
        <v>2656038</v>
      </c>
      <c r="G9" s="3">
        <f>Driver!G15</f>
        <v>30000</v>
      </c>
      <c r="H9" s="3">
        <f>Driver!H15</f>
        <v>1506072</v>
      </c>
      <c r="I9" s="3">
        <f>Driver!I15</f>
        <v>162778</v>
      </c>
      <c r="J9" s="3">
        <f>Driver!J15</f>
        <v>-656548</v>
      </c>
      <c r="K9" s="22">
        <f>SUM(C9:J9)</f>
        <v>20789169</v>
      </c>
      <c r="L9" s="23">
        <f>K9-K7</f>
        <v>2386140</v>
      </c>
      <c r="M9" s="24">
        <f>L9/K7</f>
        <v>0.12966017713714412</v>
      </c>
      <c r="O9" s="53">
        <f>J7</f>
        <v>-2572196</v>
      </c>
      <c r="P9" s="53">
        <f>C9+D9+E9+F9+G9+H9+I9+O9</f>
        <v>18873521</v>
      </c>
      <c r="Q9" s="53">
        <f>P9-K7</f>
        <v>470492</v>
      </c>
      <c r="R9" s="51">
        <f>Q9/K7</f>
        <v>2.556600872606352E-2</v>
      </c>
    </row>
    <row r="10" spans="1:18" x14ac:dyDescent="0.3">
      <c r="K10" s="15"/>
      <c r="L10" s="15"/>
      <c r="M10" s="21"/>
      <c r="O10" s="54"/>
      <c r="P10" s="54"/>
      <c r="Q10" s="54"/>
      <c r="R10" s="52"/>
    </row>
    <row r="11" spans="1:18" x14ac:dyDescent="0.3">
      <c r="A11" s="9" t="str">
        <f>Keystone!$A$11</f>
        <v>Est. FY 2025</v>
      </c>
      <c r="B11" s="19">
        <f>Driver!C23</f>
        <v>0.02</v>
      </c>
      <c r="C11" s="3">
        <f>Driver!C33</f>
        <v>14516176</v>
      </c>
      <c r="D11" s="3">
        <f>Driver!D33</f>
        <v>112752</v>
      </c>
      <c r="E11" s="3">
        <f>Driver!E33</f>
        <v>2390620</v>
      </c>
      <c r="F11" s="3">
        <f>Driver!F33</f>
        <v>2642842</v>
      </c>
      <c r="G11" s="3">
        <f>Driver!G33</f>
        <v>30000</v>
      </c>
      <c r="H11" s="3">
        <f>Driver!H33</f>
        <v>1499802</v>
      </c>
      <c r="I11" s="3">
        <f>Driver!I33</f>
        <v>162036</v>
      </c>
      <c r="J11" s="3">
        <f>Driver!J33</f>
        <v>-656548</v>
      </c>
      <c r="K11" s="22">
        <f>SUM(C11:J11)</f>
        <v>20697680</v>
      </c>
      <c r="L11" s="23">
        <f>K11-K7</f>
        <v>2294651</v>
      </c>
      <c r="M11" s="24">
        <f>L11/K7</f>
        <v>0.12468876726760579</v>
      </c>
      <c r="O11" s="53">
        <f>J7</f>
        <v>-2572196</v>
      </c>
      <c r="P11" s="53">
        <f>C11+D11+E11+F11+G11+H11+I11+O11</f>
        <v>18782032</v>
      </c>
      <c r="Q11" s="53">
        <f>P11-K7</f>
        <v>379003</v>
      </c>
      <c r="R11" s="51">
        <f>Q11/K7</f>
        <v>2.0594598856525193E-2</v>
      </c>
    </row>
    <row r="13" spans="1:18" x14ac:dyDescent="0.3">
      <c r="A13" s="16" t="str">
        <f>Keystone!$A$13</f>
        <v>*Estimates are preliminary and subject to change.</v>
      </c>
    </row>
    <row r="14" spans="1:18" x14ac:dyDescent="0.3">
      <c r="A14" s="30" t="str">
        <f>Keystone!$A$14</f>
        <v>Sources:</v>
      </c>
    </row>
    <row r="15" spans="1:18" x14ac:dyDescent="0.3">
      <c r="A15" s="30" t="str">
        <f>Keystone!$A$15</f>
        <v>Iowa Department of Management, School Aid file and IASB estimates (based on IASB_Schlaid_FY24_FY29_2.2.sas).</v>
      </c>
    </row>
    <row r="16" spans="1:18" x14ac:dyDescent="0.3">
      <c r="A16" s="16"/>
    </row>
    <row r="17" spans="1:1" x14ac:dyDescent="0.3">
      <c r="A17" s="16" t="str">
        <f>Keystone!$A$18</f>
        <v>Copyright 2024 - Iowa Association of School Boards</v>
      </c>
    </row>
  </sheetData>
  <mergeCells count="3">
    <mergeCell ref="F3:G3"/>
    <mergeCell ref="O4:R4"/>
    <mergeCell ref="C1:M1"/>
  </mergeCells>
  <hyperlinks>
    <hyperlink ref="F3:G3" location="Driver!B2" display="Back to Main Tab" xr:uid="{00000000-0004-0000-1400-000000000000}"/>
  </hyperlinks>
  <pageMargins left="0.32" right="0.35" top="0.75" bottom="0.55000000000000004" header="0.3" footer="0.3"/>
  <pageSetup scale="82" orientation="landscape" r:id="rId1"/>
  <headerFooter>
    <oddFooter>&amp;LIASB:  &amp;F  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R17"/>
  <sheetViews>
    <sheetView workbookViewId="0">
      <selection activeCell="C1" sqref="C1:M1"/>
    </sheetView>
  </sheetViews>
  <sheetFormatPr defaultRowHeight="14.4" x14ac:dyDescent="0.3"/>
  <cols>
    <col min="1" max="1" width="11.88671875" style="9" customWidth="1"/>
    <col min="2" max="2" width="7.5546875" customWidth="1"/>
    <col min="3" max="3" width="13.6640625" customWidth="1"/>
    <col min="4" max="4" width="11.6640625" customWidth="1"/>
    <col min="5" max="5" width="13.6640625" bestFit="1" customWidth="1"/>
    <col min="6" max="6" width="12.44140625" customWidth="1"/>
    <col min="7" max="7" width="8.5546875" bestFit="1" customWidth="1"/>
    <col min="8" max="8" width="11.33203125" customWidth="1"/>
    <col min="9" max="10" width="12.88671875" customWidth="1"/>
    <col min="11" max="11" width="14.6640625" bestFit="1" customWidth="1"/>
    <col min="12" max="12" width="13.88671875" customWidth="1"/>
    <col min="13" max="13" width="11" customWidth="1"/>
    <col min="14" max="14" width="1" customWidth="1"/>
    <col min="15" max="15" width="12.33203125" customWidth="1"/>
    <col min="16" max="16" width="12.6640625" customWidth="1"/>
    <col min="17" max="17" width="11.5546875" customWidth="1"/>
    <col min="18" max="18" width="10.109375" customWidth="1"/>
  </cols>
  <sheetData>
    <row r="1" spans="1:18" ht="15.75" customHeight="1" x14ac:dyDescent="0.3">
      <c r="C1" s="65" t="str">
        <f>GreenHills!C1</f>
        <v>Iowa Association of School Boards:  Supplemental State Aid Funding for Area Education Agencies FY 2024 and Estimated FY 2025</v>
      </c>
      <c r="D1" s="65"/>
      <c r="E1" s="65"/>
      <c r="F1" s="65"/>
      <c r="G1" s="65"/>
      <c r="H1" s="65"/>
      <c r="I1" s="65"/>
      <c r="J1" s="65"/>
      <c r="K1" s="65"/>
      <c r="L1" s="65"/>
      <c r="M1" s="66"/>
    </row>
    <row r="3" spans="1:18" ht="18" x14ac:dyDescent="0.35">
      <c r="C3" s="13" t="str">
        <f>Driver!B16</f>
        <v>GREAT PRAIRIE AEA</v>
      </c>
      <c r="F3" s="62" t="s">
        <v>30</v>
      </c>
      <c r="G3" s="62"/>
    </row>
    <row r="4" spans="1:18" ht="12.6" customHeight="1" x14ac:dyDescent="0.3">
      <c r="O4" s="63" t="str">
        <f>GreenHills!O4</f>
        <v>If State Aid Reduction = Prior Fiscal Year Amount</v>
      </c>
      <c r="P4" s="64"/>
      <c r="Q4" s="64"/>
      <c r="R4" s="64"/>
    </row>
    <row r="5" spans="1:18" ht="43.2" x14ac:dyDescent="0.3">
      <c r="B5" s="8" t="str">
        <f>GreenHills!B5</f>
        <v>SSA Rate</v>
      </c>
      <c r="C5" s="8" t="str">
        <f>GreenHills!C5</f>
        <v>Special Education Support</v>
      </c>
      <c r="D5" s="8" t="str">
        <f>GreenHills!D5</f>
        <v>Special Education Support Adj.</v>
      </c>
      <c r="E5" s="8" t="str">
        <f>GreenHills!E5</f>
        <v>Media Services</v>
      </c>
      <c r="F5" s="8" t="str">
        <f>GreenHills!F5</f>
        <v>Ed. Services</v>
      </c>
      <c r="G5" s="8" t="str">
        <f>GreenHills!G5</f>
        <v>Sharing</v>
      </c>
      <c r="H5" s="8" t="str">
        <f>GreenHills!H5</f>
        <v>Teacher Salary Supp.</v>
      </c>
      <c r="I5" s="8" t="str">
        <f>GreenHills!I5</f>
        <v>Professional Development Supp.</v>
      </c>
      <c r="J5" s="8" t="str">
        <f>GreenHills!J5</f>
        <v>State Aid Reduction To AEAs</v>
      </c>
      <c r="K5" s="20" t="str">
        <f>GreenHills!K5</f>
        <v>Total School Aid Funding</v>
      </c>
      <c r="L5" s="20" t="str">
        <f>GreenHills!L5</f>
        <v>Change Compared to FY 2024</v>
      </c>
      <c r="M5" s="20" t="str">
        <f>GreenHills!M5</f>
        <v>% Change Compared to FY 2024</v>
      </c>
      <c r="O5" s="49" t="s">
        <v>34</v>
      </c>
      <c r="P5" s="49" t="s">
        <v>24</v>
      </c>
      <c r="Q5" s="49" t="str">
        <f>GreenHills!Q5</f>
        <v>Change Compared to FY 2024</v>
      </c>
      <c r="R5" s="49" t="str">
        <f>GreenHills!R5</f>
        <v>% Change Compared to FY 2024</v>
      </c>
    </row>
    <row r="6" spans="1:18" ht="10.199999999999999" customHeight="1" x14ac:dyDescent="0.3">
      <c r="K6" s="15"/>
      <c r="L6" s="15"/>
      <c r="M6" s="15"/>
      <c r="O6" s="50"/>
      <c r="P6" s="50"/>
      <c r="Q6" s="50"/>
      <c r="R6" s="50"/>
    </row>
    <row r="7" spans="1:18" x14ac:dyDescent="0.3">
      <c r="A7" s="9" t="str">
        <f>Keystone!$A$7</f>
        <v>FY 2024</v>
      </c>
      <c r="C7" s="3">
        <f>FY_2024!F11</f>
        <v>12798057</v>
      </c>
      <c r="D7" s="3">
        <f>FY_2024!G11</f>
        <v>84859</v>
      </c>
      <c r="E7" s="3">
        <f>FY_2024!H11</f>
        <v>2175147</v>
      </c>
      <c r="F7" s="3">
        <f>FY_2024!I11</f>
        <v>2390777</v>
      </c>
      <c r="G7" s="3">
        <f>FY_2024!J11</f>
        <v>30000</v>
      </c>
      <c r="H7" s="3">
        <f>FY_2024!K11</f>
        <v>1289025</v>
      </c>
      <c r="I7" s="3">
        <f>FY_2024!L11</f>
        <v>141245</v>
      </c>
      <c r="J7" s="3">
        <f>-FY_2024!M11</f>
        <v>-2399597</v>
      </c>
      <c r="K7" s="17">
        <f>SUM(C7:J7)</f>
        <v>16509513</v>
      </c>
      <c r="L7" s="15"/>
      <c r="M7" s="15"/>
      <c r="O7" s="50"/>
      <c r="P7" s="50"/>
      <c r="Q7" s="50"/>
      <c r="R7" s="50"/>
    </row>
    <row r="8" spans="1:18" x14ac:dyDescent="0.3">
      <c r="C8" s="3"/>
      <c r="D8" s="3"/>
      <c r="E8" s="3"/>
      <c r="F8" s="3"/>
      <c r="G8" s="3"/>
      <c r="H8" s="3"/>
      <c r="I8" s="3"/>
      <c r="J8" s="3"/>
      <c r="K8" s="17"/>
      <c r="L8" s="15"/>
      <c r="M8" s="15"/>
      <c r="O8" s="50"/>
      <c r="P8" s="50"/>
      <c r="Q8" s="50"/>
      <c r="R8" s="50"/>
    </row>
    <row r="9" spans="1:18" x14ac:dyDescent="0.3">
      <c r="A9" s="9" t="str">
        <f>Keystone!$A$9</f>
        <v>Est. FY 2025</v>
      </c>
      <c r="B9" s="19">
        <f>Driver!C5</f>
        <v>2.5000000000000001E-2</v>
      </c>
      <c r="C9" s="3">
        <f>Driver!C16</f>
        <v>12960559</v>
      </c>
      <c r="D9" s="3">
        <f>Driver!D16</f>
        <v>121002</v>
      </c>
      <c r="E9" s="3">
        <f>Driver!E16</f>
        <v>2214056</v>
      </c>
      <c r="F9" s="3">
        <f>Driver!F16</f>
        <v>2434104</v>
      </c>
      <c r="G9" s="3">
        <f>Driver!G16</f>
        <v>30000</v>
      </c>
      <c r="H9" s="3">
        <f>Driver!H16</f>
        <v>1308946</v>
      </c>
      <c r="I9" s="3">
        <f>Driver!I16</f>
        <v>143643</v>
      </c>
      <c r="J9" s="3">
        <f>Driver!J16</f>
        <v>-610815</v>
      </c>
      <c r="K9" s="22">
        <f>SUM(C9:J9)</f>
        <v>18601495</v>
      </c>
      <c r="L9" s="23">
        <f>K9-K7</f>
        <v>2091982</v>
      </c>
      <c r="M9" s="24">
        <f>L9/K7</f>
        <v>0.12671373165277497</v>
      </c>
      <c r="O9" s="53">
        <f>J7</f>
        <v>-2399597</v>
      </c>
      <c r="P9" s="53">
        <f>C9+D9+E9+F9+G9+H9+I9+O9</f>
        <v>16812713</v>
      </c>
      <c r="Q9" s="53">
        <f>P9-K7</f>
        <v>303200</v>
      </c>
      <c r="R9" s="51">
        <f>Q9/K7</f>
        <v>1.8365169220921296E-2</v>
      </c>
    </row>
    <row r="10" spans="1:18" x14ac:dyDescent="0.3">
      <c r="K10" s="15"/>
      <c r="L10" s="15"/>
      <c r="M10" s="21"/>
      <c r="O10" s="54"/>
      <c r="P10" s="54"/>
      <c r="Q10" s="54"/>
      <c r="R10" s="52"/>
    </row>
    <row r="11" spans="1:18" x14ac:dyDescent="0.3">
      <c r="A11" s="9" t="str">
        <f>Keystone!$A$11</f>
        <v>Est. FY 2025</v>
      </c>
      <c r="B11" s="19">
        <f>Driver!C23</f>
        <v>0.02</v>
      </c>
      <c r="C11" s="3">
        <f>Driver!C34</f>
        <v>12896835</v>
      </c>
      <c r="D11" s="3">
        <f>Driver!D34</f>
        <v>144504</v>
      </c>
      <c r="E11" s="3">
        <f>Driver!E34</f>
        <v>2203281</v>
      </c>
      <c r="F11" s="3">
        <f>Driver!F34</f>
        <v>2421937</v>
      </c>
      <c r="G11" s="3">
        <f>Driver!G34</f>
        <v>30000</v>
      </c>
      <c r="H11" s="3">
        <f>Driver!H34</f>
        <v>1304383</v>
      </c>
      <c r="I11" s="3">
        <f>Driver!I34</f>
        <v>143058</v>
      </c>
      <c r="J11" s="3">
        <f>Driver!J34</f>
        <v>-610815</v>
      </c>
      <c r="K11" s="22">
        <f>SUM(C11:J11)</f>
        <v>18533183</v>
      </c>
      <c r="L11" s="23">
        <f>K11-K7</f>
        <v>2023670</v>
      </c>
      <c r="M11" s="24">
        <f>L11/K7</f>
        <v>0.12257599603331727</v>
      </c>
      <c r="O11" s="53">
        <f>J7</f>
        <v>-2399597</v>
      </c>
      <c r="P11" s="53">
        <f>C11+D11+E11+F11+G11+H11+I11+O11</f>
        <v>16744401</v>
      </c>
      <c r="Q11" s="53">
        <f>P11-K7</f>
        <v>234888</v>
      </c>
      <c r="R11" s="51">
        <f>Q11/K7</f>
        <v>1.4227433601463592E-2</v>
      </c>
    </row>
    <row r="13" spans="1:18" x14ac:dyDescent="0.3">
      <c r="A13" s="16" t="str">
        <f>Keystone!$A$13</f>
        <v>*Estimates are preliminary and subject to change.</v>
      </c>
    </row>
    <row r="14" spans="1:18" x14ac:dyDescent="0.3">
      <c r="A14" s="30" t="str">
        <f>Keystone!$A$14</f>
        <v>Sources:</v>
      </c>
    </row>
    <row r="15" spans="1:18" x14ac:dyDescent="0.3">
      <c r="A15" s="30" t="str">
        <f>Keystone!$A$15</f>
        <v>Iowa Department of Management, School Aid file and IASB estimates (based on IASB_Schlaid_FY24_FY29_2.2.sas).</v>
      </c>
    </row>
    <row r="16" spans="1:18" x14ac:dyDescent="0.3">
      <c r="A16" s="16"/>
    </row>
    <row r="17" spans="1:1" x14ac:dyDescent="0.3">
      <c r="A17" s="16" t="str">
        <f>Keystone!$A$18</f>
        <v>Copyright 2024 - Iowa Association of School Boards</v>
      </c>
    </row>
  </sheetData>
  <mergeCells count="3">
    <mergeCell ref="F3:G3"/>
    <mergeCell ref="O4:R4"/>
    <mergeCell ref="C1:M1"/>
  </mergeCells>
  <hyperlinks>
    <hyperlink ref="F3:G3" location="Driver!B2" display="Back to Main Tab" xr:uid="{00000000-0004-0000-1500-000000000000}"/>
  </hyperlinks>
  <pageMargins left="0.32" right="0.35" top="0.75" bottom="0.55000000000000004" header="0.3" footer="0.3"/>
  <pageSetup scale="82" orientation="landscape" r:id="rId1"/>
  <headerFooter>
    <oddFooter>&amp;LIASB:  &amp;F 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"/>
  <sheetViews>
    <sheetView workbookViewId="0">
      <selection activeCell="B2" sqref="B2:O11"/>
    </sheetView>
  </sheetViews>
  <sheetFormatPr defaultRowHeight="14.4" x14ac:dyDescent="0.3"/>
  <cols>
    <col min="1" max="1" width="4.6640625" customWidth="1"/>
    <col min="3" max="3" width="7" customWidth="1"/>
    <col min="4" max="4" width="8.33203125" customWidth="1"/>
    <col min="6" max="6" width="15.6640625" bestFit="1" customWidth="1"/>
    <col min="7" max="7" width="13.6640625" bestFit="1" customWidth="1"/>
    <col min="8" max="9" width="14.6640625" bestFit="1" customWidth="1"/>
    <col min="10" max="10" width="11.33203125" bestFit="1" customWidth="1"/>
    <col min="11" max="11" width="14.6640625" bestFit="1" customWidth="1"/>
    <col min="12" max="12" width="13.6640625" bestFit="1" customWidth="1"/>
    <col min="13" max="13" width="14" bestFit="1" customWidth="1"/>
    <col min="14" max="15" width="12.109375" bestFit="1" customWidth="1"/>
    <col min="16" max="16" width="4" customWidth="1"/>
    <col min="17" max="17" width="15.6640625" bestFit="1" customWidth="1"/>
  </cols>
  <sheetData>
    <row r="1" spans="2:17" ht="15" thickBot="1" x14ac:dyDescent="0.35"/>
    <row r="2" spans="2:17" ht="27.6" x14ac:dyDescent="0.3">
      <c r="B2" s="44" t="s">
        <v>0</v>
      </c>
      <c r="C2" s="45" t="s">
        <v>13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12</v>
      </c>
    </row>
    <row r="3" spans="2:17" x14ac:dyDescent="0.3">
      <c r="B3" s="46">
        <v>1</v>
      </c>
      <c r="C3" s="1">
        <v>1</v>
      </c>
      <c r="D3" s="1">
        <v>0</v>
      </c>
      <c r="E3" s="1">
        <v>21</v>
      </c>
      <c r="F3" s="1">
        <v>11210154</v>
      </c>
      <c r="G3" s="1">
        <v>91166</v>
      </c>
      <c r="H3" s="1">
        <v>1970419</v>
      </c>
      <c r="I3" s="1">
        <v>2195105</v>
      </c>
      <c r="J3" s="1">
        <v>0</v>
      </c>
      <c r="K3" s="1">
        <v>1118321</v>
      </c>
      <c r="L3" s="1">
        <v>121338</v>
      </c>
      <c r="M3" s="1">
        <v>531577</v>
      </c>
      <c r="N3" s="1">
        <v>32200.14</v>
      </c>
      <c r="O3" s="1">
        <v>31557</v>
      </c>
    </row>
    <row r="4" spans="2:17" x14ac:dyDescent="0.3">
      <c r="B4" s="46">
        <v>2</v>
      </c>
      <c r="C4" s="1">
        <v>5</v>
      </c>
      <c r="D4" s="1">
        <v>0</v>
      </c>
      <c r="E4" s="1">
        <v>36</v>
      </c>
      <c r="F4" s="1">
        <v>11576505</v>
      </c>
      <c r="G4" s="1">
        <v>290640</v>
      </c>
      <c r="H4" s="1">
        <v>1992449</v>
      </c>
      <c r="I4" s="1">
        <v>2231786</v>
      </c>
      <c r="J4" s="1">
        <v>0</v>
      </c>
      <c r="K4" s="1">
        <v>1250735</v>
      </c>
      <c r="L4" s="1">
        <v>148661</v>
      </c>
      <c r="M4" s="1">
        <v>565217</v>
      </c>
      <c r="N4" s="1">
        <v>33663.39</v>
      </c>
      <c r="O4" s="1">
        <v>31869</v>
      </c>
    </row>
    <row r="5" spans="2:17" x14ac:dyDescent="0.3">
      <c r="B5" s="46">
        <v>3</v>
      </c>
      <c r="C5" s="1">
        <v>7</v>
      </c>
      <c r="D5" s="1">
        <v>0</v>
      </c>
      <c r="E5" s="1">
        <v>53</v>
      </c>
      <c r="F5" s="1">
        <v>23694101</v>
      </c>
      <c r="G5" s="1">
        <v>325184</v>
      </c>
      <c r="H5" s="1">
        <v>4015196</v>
      </c>
      <c r="I5" s="1">
        <v>4476681</v>
      </c>
      <c r="J5" s="1">
        <v>0</v>
      </c>
      <c r="K5" s="1">
        <v>2955697</v>
      </c>
      <c r="L5" s="1">
        <v>340226</v>
      </c>
      <c r="M5" s="1">
        <v>1049026</v>
      </c>
      <c r="N5" s="1">
        <v>70254.710000000006</v>
      </c>
      <c r="O5" s="1">
        <v>64274</v>
      </c>
    </row>
    <row r="6" spans="2:17" x14ac:dyDescent="0.3">
      <c r="B6" s="46">
        <v>4</v>
      </c>
      <c r="C6" s="1">
        <v>9</v>
      </c>
      <c r="D6" s="1">
        <v>0</v>
      </c>
      <c r="E6" s="1">
        <v>21</v>
      </c>
      <c r="F6" s="1">
        <v>17068958</v>
      </c>
      <c r="G6" s="1">
        <v>407194</v>
      </c>
      <c r="H6" s="1">
        <v>2965187</v>
      </c>
      <c r="I6" s="1">
        <v>3240273</v>
      </c>
      <c r="J6" s="1">
        <v>0</v>
      </c>
      <c r="K6" s="1">
        <v>1597376</v>
      </c>
      <c r="L6" s="1">
        <v>187408</v>
      </c>
      <c r="M6" s="1">
        <v>763328</v>
      </c>
      <c r="N6" s="1">
        <v>50967.33</v>
      </c>
      <c r="O6" s="1">
        <v>47841</v>
      </c>
    </row>
    <row r="7" spans="2:17" x14ac:dyDescent="0.3">
      <c r="B7" s="46">
        <v>5</v>
      </c>
      <c r="C7" s="1">
        <v>10</v>
      </c>
      <c r="D7" s="1">
        <v>0</v>
      </c>
      <c r="E7" s="1">
        <v>32</v>
      </c>
      <c r="F7" s="1">
        <v>25836443</v>
      </c>
      <c r="G7" s="1">
        <v>322792</v>
      </c>
      <c r="H7" s="1">
        <v>4599903</v>
      </c>
      <c r="I7" s="1">
        <v>5056489</v>
      </c>
      <c r="J7" s="1">
        <v>0</v>
      </c>
      <c r="K7" s="1">
        <v>2469157</v>
      </c>
      <c r="L7" s="1">
        <v>287495</v>
      </c>
      <c r="M7" s="1">
        <v>969435</v>
      </c>
      <c r="N7" s="1">
        <v>77591.58</v>
      </c>
      <c r="O7" s="1">
        <v>74001</v>
      </c>
    </row>
    <row r="8" spans="2:17" x14ac:dyDescent="0.3">
      <c r="B8" s="46">
        <v>6</v>
      </c>
      <c r="C8" s="1">
        <v>11</v>
      </c>
      <c r="D8" s="1">
        <v>0</v>
      </c>
      <c r="E8" s="1">
        <v>53</v>
      </c>
      <c r="F8" s="1">
        <v>52641501</v>
      </c>
      <c r="G8" s="1">
        <v>331939</v>
      </c>
      <c r="H8" s="1">
        <v>9473510</v>
      </c>
      <c r="I8" s="1">
        <v>10406503</v>
      </c>
      <c r="J8" s="1">
        <v>0</v>
      </c>
      <c r="K8" s="1">
        <v>4509009</v>
      </c>
      <c r="L8" s="1">
        <v>565451</v>
      </c>
      <c r="M8" s="1">
        <v>1717436</v>
      </c>
      <c r="N8" s="1">
        <v>161536.45000000001</v>
      </c>
      <c r="O8" s="1">
        <v>152700</v>
      </c>
    </row>
    <row r="9" spans="2:17" x14ac:dyDescent="0.3">
      <c r="B9" s="46">
        <v>7</v>
      </c>
      <c r="C9" s="1">
        <v>12</v>
      </c>
      <c r="D9" s="1">
        <v>0</v>
      </c>
      <c r="E9" s="1">
        <v>34</v>
      </c>
      <c r="F9" s="1">
        <v>15391718</v>
      </c>
      <c r="G9" s="1">
        <v>274053</v>
      </c>
      <c r="H9" s="1">
        <v>2806001</v>
      </c>
      <c r="I9" s="1">
        <v>3142094</v>
      </c>
      <c r="J9" s="1">
        <v>0</v>
      </c>
      <c r="K9" s="1">
        <v>1576171</v>
      </c>
      <c r="L9" s="1">
        <v>187888</v>
      </c>
      <c r="M9" s="1">
        <v>642407</v>
      </c>
      <c r="N9" s="1">
        <v>45200.63</v>
      </c>
      <c r="O9" s="1">
        <v>44932</v>
      </c>
    </row>
    <row r="10" spans="2:17" x14ac:dyDescent="0.3">
      <c r="B10" s="46">
        <v>8</v>
      </c>
      <c r="C10" s="1">
        <v>13</v>
      </c>
      <c r="D10" s="1">
        <v>0</v>
      </c>
      <c r="E10" s="1">
        <v>43</v>
      </c>
      <c r="F10" s="1">
        <v>14231910</v>
      </c>
      <c r="G10" s="1">
        <v>221450</v>
      </c>
      <c r="H10" s="1">
        <v>2343873</v>
      </c>
      <c r="I10" s="1">
        <v>2591193</v>
      </c>
      <c r="J10" s="1">
        <v>0</v>
      </c>
      <c r="K10" s="1">
        <v>1480621</v>
      </c>
      <c r="L10" s="1">
        <v>159760</v>
      </c>
      <c r="M10" s="1">
        <v>652688</v>
      </c>
      <c r="N10" s="1">
        <v>42618.17</v>
      </c>
      <c r="O10" s="1">
        <v>37701</v>
      </c>
    </row>
    <row r="11" spans="2:17" x14ac:dyDescent="0.3">
      <c r="B11" s="46">
        <v>9</v>
      </c>
      <c r="C11" s="1">
        <v>15</v>
      </c>
      <c r="D11" s="1">
        <v>0</v>
      </c>
      <c r="E11" s="1">
        <v>32</v>
      </c>
      <c r="F11" s="1">
        <v>12642307</v>
      </c>
      <c r="G11" s="1">
        <v>304226</v>
      </c>
      <c r="H11" s="1">
        <v>2160173</v>
      </c>
      <c r="I11" s="1">
        <v>2374313</v>
      </c>
      <c r="J11" s="1">
        <v>0</v>
      </c>
      <c r="K11" s="1">
        <v>1293786</v>
      </c>
      <c r="L11" s="1">
        <v>141810</v>
      </c>
      <c r="M11" s="1">
        <v>608889</v>
      </c>
      <c r="N11" s="1">
        <v>38159.699999999997</v>
      </c>
      <c r="O11" s="1">
        <v>34763</v>
      </c>
    </row>
    <row r="13" spans="2:17" x14ac:dyDescent="0.3">
      <c r="F13" s="3">
        <f>SUM(F2:F11)</f>
        <v>184293597</v>
      </c>
      <c r="G13" s="3">
        <f t="shared" ref="G13:O13" si="0">SUM(G2:G11)</f>
        <v>2568644</v>
      </c>
      <c r="H13" s="3">
        <f t="shared" si="0"/>
        <v>32326711</v>
      </c>
      <c r="I13" s="3">
        <f t="shared" si="0"/>
        <v>35714437</v>
      </c>
      <c r="J13" s="3">
        <f t="shared" si="0"/>
        <v>0</v>
      </c>
      <c r="K13" s="3">
        <f t="shared" si="0"/>
        <v>18250873</v>
      </c>
      <c r="L13" s="3">
        <f t="shared" si="0"/>
        <v>2140037</v>
      </c>
      <c r="M13" s="3">
        <f t="shared" si="0"/>
        <v>7500003</v>
      </c>
      <c r="N13" s="3">
        <f t="shared" si="0"/>
        <v>552192.1</v>
      </c>
      <c r="O13" s="3">
        <f t="shared" si="0"/>
        <v>519638</v>
      </c>
      <c r="P13" s="3"/>
      <c r="Q13" s="3">
        <f>F13+G13+H13+I13+J13+K13+L13-M13</f>
        <v>267794296</v>
      </c>
    </row>
    <row r="15" spans="2:17" x14ac:dyDescent="0.3">
      <c r="M15">
        <f>FY_2024!M12</f>
        <v>29557131</v>
      </c>
      <c r="O15">
        <f>(SUM(F13:L13))-M13</f>
        <v>267794296</v>
      </c>
      <c r="Q15">
        <f>F13+G13+H13+I13+J13+K13+L13-M15</f>
        <v>245737168</v>
      </c>
    </row>
    <row r="16" spans="2:17" x14ac:dyDescent="0.3">
      <c r="O16">
        <f>O15-Driver!K18</f>
        <v>-5129983</v>
      </c>
    </row>
    <row r="17" spans="1:17" x14ac:dyDescent="0.3">
      <c r="D17" s="58" t="s">
        <v>63</v>
      </c>
      <c r="E17" s="58"/>
      <c r="F17" s="57">
        <f>F13-FY_2024!F14</f>
        <v>-991429</v>
      </c>
      <c r="G17" s="57">
        <f>G13-FY_2024!G14</f>
        <v>1989704</v>
      </c>
      <c r="H17" s="57">
        <f>H13-FY_2024!H14</f>
        <v>-18327</v>
      </c>
      <c r="I17" s="57">
        <f>I13-FY_2024!I14</f>
        <v>-20733</v>
      </c>
      <c r="J17" s="57">
        <f>J13-FY_2024!J14</f>
        <v>-180006</v>
      </c>
      <c r="K17" s="57">
        <f>K13-FY_2024!K14</f>
        <v>90173</v>
      </c>
      <c r="L17" s="57">
        <f>L13-FY_2024!L14</f>
        <v>10772</v>
      </c>
      <c r="M17" s="57">
        <f>M13-FY_2024!M14</f>
        <v>-51614259</v>
      </c>
      <c r="N17" s="55">
        <f>N13-FY_2024!N14</f>
        <v>-2935.1999999999534</v>
      </c>
      <c r="O17" s="55">
        <f>O13-FY_2024!O14</f>
        <v>-292</v>
      </c>
      <c r="P17" s="56"/>
      <c r="Q17" s="57">
        <f>Q15-FY_2024!Q14</f>
        <v>880154</v>
      </c>
    </row>
    <row r="19" spans="1:17" x14ac:dyDescent="0.3">
      <c r="A19" t="s">
        <v>74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8"/>
  <sheetViews>
    <sheetView workbookViewId="0">
      <selection activeCell="M17" sqref="M17"/>
    </sheetView>
  </sheetViews>
  <sheetFormatPr defaultRowHeight="14.4" x14ac:dyDescent="0.3"/>
  <cols>
    <col min="1" max="1" width="2.5546875" customWidth="1"/>
    <col min="6" max="6" width="10" bestFit="1" customWidth="1"/>
    <col min="13" max="13" width="13.21875" bestFit="1" customWidth="1"/>
    <col min="15" max="15" width="10" bestFit="1" customWidth="1"/>
    <col min="16" max="16" width="6" customWidth="1"/>
    <col min="17" max="17" width="11.6640625" bestFit="1" customWidth="1"/>
  </cols>
  <sheetData>
    <row r="1" spans="2:17" ht="15" thickBot="1" x14ac:dyDescent="0.35"/>
    <row r="2" spans="2:17" x14ac:dyDescent="0.3">
      <c r="B2" s="44" t="s">
        <v>0</v>
      </c>
      <c r="C2" s="45" t="s">
        <v>13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12</v>
      </c>
    </row>
    <row r="3" spans="2:17" x14ac:dyDescent="0.3">
      <c r="B3" s="46">
        <v>1</v>
      </c>
      <c r="C3" s="1">
        <v>1</v>
      </c>
      <c r="D3" s="1">
        <v>0</v>
      </c>
      <c r="E3" s="1">
        <v>21</v>
      </c>
      <c r="F3" s="1">
        <v>11263931</v>
      </c>
      <c r="G3" s="1">
        <v>55493</v>
      </c>
      <c r="H3" s="1">
        <v>1980204</v>
      </c>
      <c r="I3" s="1">
        <v>2205834</v>
      </c>
      <c r="J3" s="1">
        <v>0</v>
      </c>
      <c r="K3" s="1">
        <v>1120249</v>
      </c>
      <c r="L3" s="1">
        <v>121570</v>
      </c>
      <c r="M3" s="1">
        <v>531577</v>
      </c>
      <c r="N3" s="1">
        <v>32200.14</v>
      </c>
      <c r="O3" s="1">
        <v>31557</v>
      </c>
    </row>
    <row r="4" spans="2:17" x14ac:dyDescent="0.3">
      <c r="B4" s="46">
        <v>2</v>
      </c>
      <c r="C4" s="1">
        <v>5</v>
      </c>
      <c r="D4" s="1">
        <v>0</v>
      </c>
      <c r="E4" s="1">
        <v>36</v>
      </c>
      <c r="F4" s="1">
        <v>11632721</v>
      </c>
      <c r="G4" s="1">
        <v>251960</v>
      </c>
      <c r="H4" s="1">
        <v>2002327</v>
      </c>
      <c r="I4" s="1">
        <v>2242620</v>
      </c>
      <c r="J4" s="1">
        <v>0</v>
      </c>
      <c r="K4" s="1">
        <v>1252697</v>
      </c>
      <c r="L4" s="1">
        <v>148892</v>
      </c>
      <c r="M4" s="1">
        <v>565217</v>
      </c>
      <c r="N4" s="1">
        <v>33663.39</v>
      </c>
      <c r="O4" s="1">
        <v>31869</v>
      </c>
    </row>
    <row r="5" spans="2:17" x14ac:dyDescent="0.3">
      <c r="B5" s="46">
        <v>3</v>
      </c>
      <c r="C5" s="1">
        <v>7</v>
      </c>
      <c r="D5" s="1">
        <v>0</v>
      </c>
      <c r="E5" s="1">
        <v>53</v>
      </c>
      <c r="F5" s="1">
        <v>23811427</v>
      </c>
      <c r="G5" s="1">
        <v>261154</v>
      </c>
      <c r="H5" s="1">
        <v>4035122</v>
      </c>
      <c r="I5" s="1">
        <v>4498537</v>
      </c>
      <c r="J5" s="1">
        <v>0</v>
      </c>
      <c r="K5" s="1">
        <v>2961316</v>
      </c>
      <c r="L5" s="1">
        <v>340885</v>
      </c>
      <c r="M5" s="1">
        <v>1049026</v>
      </c>
      <c r="N5" s="1">
        <v>70254.710000000006</v>
      </c>
      <c r="O5" s="1">
        <v>64274</v>
      </c>
    </row>
    <row r="6" spans="2:17" x14ac:dyDescent="0.3">
      <c r="B6" s="46">
        <v>4</v>
      </c>
      <c r="C6" s="1">
        <v>9</v>
      </c>
      <c r="D6" s="1">
        <v>0</v>
      </c>
      <c r="E6" s="1">
        <v>21</v>
      </c>
      <c r="F6" s="1">
        <v>17154075</v>
      </c>
      <c r="G6" s="1">
        <v>336613</v>
      </c>
      <c r="H6" s="1">
        <v>2980015</v>
      </c>
      <c r="I6" s="1">
        <v>3256540</v>
      </c>
      <c r="J6" s="1">
        <v>0</v>
      </c>
      <c r="K6" s="1">
        <v>1599046</v>
      </c>
      <c r="L6" s="1">
        <v>187605</v>
      </c>
      <c r="M6" s="1">
        <v>763328</v>
      </c>
      <c r="N6" s="1">
        <v>50967.33</v>
      </c>
      <c r="O6" s="1">
        <v>47841</v>
      </c>
    </row>
    <row r="7" spans="2:17" x14ac:dyDescent="0.3">
      <c r="B7" s="46">
        <v>5</v>
      </c>
      <c r="C7" s="1">
        <v>10</v>
      </c>
      <c r="D7" s="1">
        <v>0</v>
      </c>
      <c r="E7" s="1">
        <v>32</v>
      </c>
      <c r="F7" s="1">
        <v>25966024</v>
      </c>
      <c r="G7" s="1">
        <v>246165</v>
      </c>
      <c r="H7" s="1">
        <v>4622842</v>
      </c>
      <c r="I7" s="1">
        <v>5081648</v>
      </c>
      <c r="J7" s="1">
        <v>0</v>
      </c>
      <c r="K7" s="1">
        <v>2474744</v>
      </c>
      <c r="L7" s="1">
        <v>288156</v>
      </c>
      <c r="M7" s="1">
        <v>969435</v>
      </c>
      <c r="N7" s="1">
        <v>77591.58</v>
      </c>
      <c r="O7" s="1">
        <v>74001</v>
      </c>
    </row>
    <row r="8" spans="2:17" x14ac:dyDescent="0.3">
      <c r="B8" s="46">
        <v>6</v>
      </c>
      <c r="C8" s="1">
        <v>11</v>
      </c>
      <c r="D8" s="1">
        <v>0</v>
      </c>
      <c r="E8" s="1">
        <v>53</v>
      </c>
      <c r="F8" s="1">
        <v>52911260</v>
      </c>
      <c r="G8" s="1">
        <v>195981</v>
      </c>
      <c r="H8" s="1">
        <v>9520844</v>
      </c>
      <c r="I8" s="1">
        <v>10458427</v>
      </c>
      <c r="J8" s="1">
        <v>0</v>
      </c>
      <c r="K8" s="1">
        <v>4523979</v>
      </c>
      <c r="L8" s="1">
        <v>567166</v>
      </c>
      <c r="M8" s="1">
        <v>1717436</v>
      </c>
      <c r="N8" s="1">
        <v>161536.45000000001</v>
      </c>
      <c r="O8" s="1">
        <v>152700</v>
      </c>
    </row>
    <row r="9" spans="2:17" x14ac:dyDescent="0.3">
      <c r="B9" s="46">
        <v>7</v>
      </c>
      <c r="C9" s="1">
        <v>12</v>
      </c>
      <c r="D9" s="1">
        <v>0</v>
      </c>
      <c r="E9" s="1">
        <v>34</v>
      </c>
      <c r="F9" s="1">
        <v>15467205</v>
      </c>
      <c r="G9" s="1">
        <v>216284</v>
      </c>
      <c r="H9" s="1">
        <v>2819932</v>
      </c>
      <c r="I9" s="1">
        <v>3157371</v>
      </c>
      <c r="J9" s="1">
        <v>0</v>
      </c>
      <c r="K9" s="1">
        <v>1578069</v>
      </c>
      <c r="L9" s="1">
        <v>188111</v>
      </c>
      <c r="M9" s="1">
        <v>642407</v>
      </c>
      <c r="N9" s="1">
        <v>45200.63</v>
      </c>
      <c r="O9" s="1">
        <v>44932</v>
      </c>
    </row>
    <row r="10" spans="2:17" x14ac:dyDescent="0.3">
      <c r="B10" s="46">
        <v>8</v>
      </c>
      <c r="C10" s="1">
        <v>13</v>
      </c>
      <c r="D10" s="1">
        <v>0</v>
      </c>
      <c r="E10" s="1">
        <v>43</v>
      </c>
      <c r="F10" s="1">
        <v>14303084</v>
      </c>
      <c r="G10" s="1">
        <v>178585</v>
      </c>
      <c r="H10" s="1">
        <v>2355560</v>
      </c>
      <c r="I10" s="1">
        <v>2604008</v>
      </c>
      <c r="J10" s="1">
        <v>0</v>
      </c>
      <c r="K10" s="1">
        <v>1483697</v>
      </c>
      <c r="L10" s="1">
        <v>160126</v>
      </c>
      <c r="M10" s="1">
        <v>652688</v>
      </c>
      <c r="N10" s="1">
        <v>42618.17</v>
      </c>
      <c r="O10" s="1">
        <v>37701</v>
      </c>
    </row>
    <row r="11" spans="2:17" x14ac:dyDescent="0.3">
      <c r="B11" s="46">
        <v>9</v>
      </c>
      <c r="C11" s="1">
        <v>15</v>
      </c>
      <c r="D11" s="1">
        <v>0</v>
      </c>
      <c r="E11" s="1">
        <v>32</v>
      </c>
      <c r="F11" s="1">
        <v>12706035</v>
      </c>
      <c r="G11" s="1">
        <v>261475</v>
      </c>
      <c r="H11" s="1">
        <v>2170951</v>
      </c>
      <c r="I11" s="1">
        <v>2386133</v>
      </c>
      <c r="J11" s="1">
        <v>0</v>
      </c>
      <c r="K11" s="1">
        <v>1296087</v>
      </c>
      <c r="L11" s="1">
        <v>142081</v>
      </c>
      <c r="M11" s="1">
        <v>608889</v>
      </c>
      <c r="N11" s="1">
        <v>38159.699999999997</v>
      </c>
      <c r="O11" s="1">
        <v>34763</v>
      </c>
    </row>
    <row r="13" spans="2:17" x14ac:dyDescent="0.3">
      <c r="F13">
        <f>SUM(F2:F11)</f>
        <v>185215762</v>
      </c>
      <c r="G13">
        <f t="shared" ref="G13:O13" si="0">SUM(G2:G11)</f>
        <v>2003710</v>
      </c>
      <c r="H13">
        <f t="shared" si="0"/>
        <v>32487797</v>
      </c>
      <c r="I13">
        <f t="shared" si="0"/>
        <v>35891118</v>
      </c>
      <c r="J13">
        <f t="shared" si="0"/>
        <v>0</v>
      </c>
      <c r="K13">
        <f t="shared" si="0"/>
        <v>18289884</v>
      </c>
      <c r="L13">
        <f t="shared" si="0"/>
        <v>2144592</v>
      </c>
      <c r="M13">
        <f t="shared" si="0"/>
        <v>7500003</v>
      </c>
      <c r="N13">
        <f t="shared" si="0"/>
        <v>552192.1</v>
      </c>
      <c r="O13">
        <f t="shared" si="0"/>
        <v>519638</v>
      </c>
      <c r="Q13">
        <f>F13+G13+H13+I13+J13+K13+L13-M13</f>
        <v>268532860</v>
      </c>
    </row>
    <row r="15" spans="2:17" x14ac:dyDescent="0.3">
      <c r="M15">
        <f>FYXX_0!M15</f>
        <v>29557131</v>
      </c>
      <c r="O15">
        <f>(SUM(F13:L13))-M13</f>
        <v>268532860</v>
      </c>
      <c r="Q15">
        <f>F13+G13+H13+I13+J13+K13+L13-M15</f>
        <v>246475732</v>
      </c>
    </row>
    <row r="16" spans="2:17" x14ac:dyDescent="0.3">
      <c r="O16">
        <f>O15-Driver!K18</f>
        <v>-4391419</v>
      </c>
    </row>
    <row r="17" spans="1:17" x14ac:dyDescent="0.3">
      <c r="D17" s="58" t="s">
        <v>63</v>
      </c>
      <c r="E17" s="58"/>
      <c r="F17" s="57">
        <f>F13-FY_2024!F14</f>
        <v>-69264</v>
      </c>
      <c r="G17" s="57">
        <f>G13-FY_2024!G14</f>
        <v>1424770</v>
      </c>
      <c r="H17" s="57">
        <f>H13-FY_2024!H14</f>
        <v>142759</v>
      </c>
      <c r="I17" s="57">
        <f>I13-FY_2024!I14</f>
        <v>155948</v>
      </c>
      <c r="J17" s="57">
        <f>J13-FY_2024!J14</f>
        <v>-180006</v>
      </c>
      <c r="K17" s="57">
        <f>K13-FY_2024!K14</f>
        <v>129184</v>
      </c>
      <c r="L17" s="57">
        <f>L13-FY_2024!L14</f>
        <v>15327</v>
      </c>
      <c r="M17" s="57">
        <f>M13-FY_2024!M14</f>
        <v>-51614259</v>
      </c>
      <c r="N17" s="55">
        <f>N13-FY_2024!N14</f>
        <v>-2935.1999999999534</v>
      </c>
      <c r="O17" s="55">
        <f>O13-FY_2024!O14</f>
        <v>-292</v>
      </c>
      <c r="P17" s="56"/>
      <c r="Q17" s="57">
        <f>Q15-FY_2024!Q14</f>
        <v>1618718</v>
      </c>
    </row>
    <row r="18" spans="1:17" x14ac:dyDescent="0.3">
      <c r="A18" t="s">
        <v>74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8"/>
  <sheetViews>
    <sheetView workbookViewId="0">
      <selection activeCell="O21" sqref="O21"/>
    </sheetView>
  </sheetViews>
  <sheetFormatPr defaultRowHeight="14.4" x14ac:dyDescent="0.3"/>
  <cols>
    <col min="1" max="1" width="4.5546875" customWidth="1"/>
    <col min="2" max="2" width="4.88671875" bestFit="1" customWidth="1"/>
    <col min="3" max="3" width="4.44140625" bestFit="1" customWidth="1"/>
    <col min="4" max="4" width="8.5546875" bestFit="1" customWidth="1"/>
    <col min="5" max="5" width="8.6640625" bestFit="1" customWidth="1"/>
    <col min="6" max="6" width="13.109375" bestFit="1" customWidth="1"/>
    <col min="7" max="7" width="11" bestFit="1" customWidth="1"/>
    <col min="8" max="9" width="12" bestFit="1" customWidth="1"/>
    <col min="10" max="10" width="9.33203125" bestFit="1" customWidth="1"/>
    <col min="11" max="11" width="12" bestFit="1" customWidth="1"/>
    <col min="12" max="12" width="11" bestFit="1" customWidth="1"/>
    <col min="13" max="13" width="13.21875" bestFit="1" customWidth="1"/>
    <col min="14" max="14" width="10.44140625" bestFit="1" customWidth="1"/>
    <col min="15" max="15" width="15.6640625" bestFit="1" customWidth="1"/>
    <col min="16" max="16" width="3" customWidth="1"/>
    <col min="17" max="17" width="12" bestFit="1" customWidth="1"/>
  </cols>
  <sheetData>
    <row r="1" spans="2:17" ht="15" thickBot="1" x14ac:dyDescent="0.35"/>
    <row r="2" spans="2:17" ht="27.6" x14ac:dyDescent="0.3">
      <c r="B2" s="44" t="s">
        <v>0</v>
      </c>
      <c r="C2" s="45" t="s">
        <v>13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12</v>
      </c>
    </row>
    <row r="3" spans="2:17" x14ac:dyDescent="0.3">
      <c r="B3" s="46">
        <v>1</v>
      </c>
      <c r="C3" s="1">
        <v>1</v>
      </c>
      <c r="D3" s="1">
        <v>0</v>
      </c>
      <c r="E3" s="1">
        <v>21</v>
      </c>
      <c r="F3" s="1">
        <v>11317705</v>
      </c>
      <c r="G3" s="1">
        <v>35525</v>
      </c>
      <c r="H3" s="1">
        <v>1989986</v>
      </c>
      <c r="I3" s="1">
        <v>2216883</v>
      </c>
      <c r="J3" s="1">
        <v>0</v>
      </c>
      <c r="K3" s="1">
        <v>1123851</v>
      </c>
      <c r="L3" s="1">
        <v>122025</v>
      </c>
      <c r="M3" s="1">
        <v>531577</v>
      </c>
      <c r="N3" s="1">
        <v>32200.14</v>
      </c>
      <c r="O3" s="1">
        <v>31557</v>
      </c>
    </row>
    <row r="4" spans="2:17" x14ac:dyDescent="0.3">
      <c r="B4" s="46">
        <v>2</v>
      </c>
      <c r="C4" s="1">
        <v>5</v>
      </c>
      <c r="D4" s="1">
        <v>0</v>
      </c>
      <c r="E4" s="1">
        <v>36</v>
      </c>
      <c r="F4" s="1">
        <v>11688939</v>
      </c>
      <c r="G4" s="1">
        <v>215850</v>
      </c>
      <c r="H4" s="1">
        <v>2012212</v>
      </c>
      <c r="I4" s="1">
        <v>2253775</v>
      </c>
      <c r="J4" s="1">
        <v>0</v>
      </c>
      <c r="K4" s="1">
        <v>1254888</v>
      </c>
      <c r="L4" s="1">
        <v>149147</v>
      </c>
      <c r="M4" s="1">
        <v>565217</v>
      </c>
      <c r="N4" s="1">
        <v>33663.39</v>
      </c>
      <c r="O4" s="1">
        <v>31869</v>
      </c>
    </row>
    <row r="5" spans="2:17" x14ac:dyDescent="0.3">
      <c r="B5" s="46">
        <v>3</v>
      </c>
      <c r="C5" s="1">
        <v>7</v>
      </c>
      <c r="D5" s="1">
        <v>0</v>
      </c>
      <c r="E5" s="1">
        <v>53</v>
      </c>
      <c r="F5" s="1">
        <v>23928757</v>
      </c>
      <c r="G5" s="1">
        <v>216553</v>
      </c>
      <c r="H5" s="1">
        <v>4055049</v>
      </c>
      <c r="I5" s="1">
        <v>4521034</v>
      </c>
      <c r="J5" s="1">
        <v>0</v>
      </c>
      <c r="K5" s="1">
        <v>2968794</v>
      </c>
      <c r="L5" s="1">
        <v>341774</v>
      </c>
      <c r="M5" s="1">
        <v>1049026</v>
      </c>
      <c r="N5" s="1">
        <v>70254.710000000006</v>
      </c>
      <c r="O5" s="1">
        <v>64274</v>
      </c>
    </row>
    <row r="6" spans="2:17" x14ac:dyDescent="0.3">
      <c r="B6" s="46">
        <v>4</v>
      </c>
      <c r="C6" s="1">
        <v>9</v>
      </c>
      <c r="D6" s="1">
        <v>0</v>
      </c>
      <c r="E6" s="1">
        <v>21</v>
      </c>
      <c r="F6" s="1">
        <v>17239190</v>
      </c>
      <c r="G6" s="1">
        <v>271140</v>
      </c>
      <c r="H6" s="1">
        <v>2994848</v>
      </c>
      <c r="I6" s="1">
        <v>3273281</v>
      </c>
      <c r="J6" s="1">
        <v>0</v>
      </c>
      <c r="K6" s="1">
        <v>1601305</v>
      </c>
      <c r="L6" s="1">
        <v>187872</v>
      </c>
      <c r="M6" s="1">
        <v>763328</v>
      </c>
      <c r="N6" s="1">
        <v>50967.33</v>
      </c>
      <c r="O6" s="1">
        <v>47841</v>
      </c>
    </row>
    <row r="7" spans="2:17" x14ac:dyDescent="0.3">
      <c r="B7" s="46">
        <v>5</v>
      </c>
      <c r="C7" s="1">
        <v>10</v>
      </c>
      <c r="D7" s="1">
        <v>0</v>
      </c>
      <c r="E7" s="1">
        <v>32</v>
      </c>
      <c r="F7" s="1">
        <v>26095600</v>
      </c>
      <c r="G7" s="1">
        <v>195915</v>
      </c>
      <c r="H7" s="1">
        <v>4645783</v>
      </c>
      <c r="I7" s="1">
        <v>5107548</v>
      </c>
      <c r="J7" s="1">
        <v>0</v>
      </c>
      <c r="K7" s="1">
        <v>2482922</v>
      </c>
      <c r="L7" s="1">
        <v>289118</v>
      </c>
      <c r="M7" s="1">
        <v>969435</v>
      </c>
      <c r="N7" s="1">
        <v>77591.58</v>
      </c>
      <c r="O7" s="1">
        <v>74001</v>
      </c>
    </row>
    <row r="8" spans="2:17" x14ac:dyDescent="0.3">
      <c r="B8" s="46">
        <v>6</v>
      </c>
      <c r="C8" s="1">
        <v>11</v>
      </c>
      <c r="D8" s="1">
        <v>0</v>
      </c>
      <c r="E8" s="1">
        <v>53</v>
      </c>
      <c r="F8" s="1">
        <v>53181031</v>
      </c>
      <c r="G8" s="1">
        <v>138961</v>
      </c>
      <c r="H8" s="1">
        <v>9568184</v>
      </c>
      <c r="I8" s="1">
        <v>10511867</v>
      </c>
      <c r="J8" s="1">
        <v>0</v>
      </c>
      <c r="K8" s="1">
        <v>4545981</v>
      </c>
      <c r="L8" s="1">
        <v>569742</v>
      </c>
      <c r="M8" s="1">
        <v>1717436</v>
      </c>
      <c r="N8" s="1">
        <v>161536.45000000001</v>
      </c>
      <c r="O8" s="1">
        <v>152700</v>
      </c>
    </row>
    <row r="9" spans="2:17" x14ac:dyDescent="0.3">
      <c r="B9" s="46">
        <v>7</v>
      </c>
      <c r="C9" s="1">
        <v>12</v>
      </c>
      <c r="D9" s="1">
        <v>0</v>
      </c>
      <c r="E9" s="1">
        <v>34</v>
      </c>
      <c r="F9" s="1">
        <v>15542691</v>
      </c>
      <c r="G9" s="1">
        <v>159451</v>
      </c>
      <c r="H9" s="1">
        <v>2833862</v>
      </c>
      <c r="I9" s="1">
        <v>3173096</v>
      </c>
      <c r="J9" s="1">
        <v>0</v>
      </c>
      <c r="K9" s="1">
        <v>1580091</v>
      </c>
      <c r="L9" s="1">
        <v>188349</v>
      </c>
      <c r="M9" s="1">
        <v>642407</v>
      </c>
      <c r="N9" s="1">
        <v>45200.63</v>
      </c>
      <c r="O9" s="1">
        <v>44932</v>
      </c>
    </row>
    <row r="10" spans="2:17" x14ac:dyDescent="0.3">
      <c r="B10" s="46">
        <v>8</v>
      </c>
      <c r="C10" s="1">
        <v>13</v>
      </c>
      <c r="D10" s="1">
        <v>0</v>
      </c>
      <c r="E10" s="1">
        <v>43</v>
      </c>
      <c r="F10" s="1">
        <v>14374253</v>
      </c>
      <c r="G10" s="1">
        <v>148471</v>
      </c>
      <c r="H10" s="1">
        <v>2367245</v>
      </c>
      <c r="I10" s="1">
        <v>2617202</v>
      </c>
      <c r="J10" s="1">
        <v>0</v>
      </c>
      <c r="K10" s="1">
        <v>1488129</v>
      </c>
      <c r="L10" s="1">
        <v>160677</v>
      </c>
      <c r="M10" s="1">
        <v>652688</v>
      </c>
      <c r="N10" s="1">
        <v>42618.17</v>
      </c>
      <c r="O10" s="1">
        <v>37701</v>
      </c>
    </row>
    <row r="11" spans="2:17" x14ac:dyDescent="0.3">
      <c r="B11" s="46">
        <v>9</v>
      </c>
      <c r="C11" s="1">
        <v>15</v>
      </c>
      <c r="D11" s="1">
        <v>0</v>
      </c>
      <c r="E11" s="1">
        <v>32</v>
      </c>
      <c r="F11" s="1">
        <v>12769763</v>
      </c>
      <c r="G11" s="1">
        <v>222290</v>
      </c>
      <c r="H11" s="1">
        <v>2181724</v>
      </c>
      <c r="I11" s="1">
        <v>2398301</v>
      </c>
      <c r="J11" s="1">
        <v>0</v>
      </c>
      <c r="K11" s="1">
        <v>1298745</v>
      </c>
      <c r="L11" s="1">
        <v>142396</v>
      </c>
      <c r="M11" s="1">
        <v>608889</v>
      </c>
      <c r="N11" s="1">
        <v>38159.699999999997</v>
      </c>
      <c r="O11" s="1">
        <v>34763</v>
      </c>
    </row>
    <row r="13" spans="2:17" x14ac:dyDescent="0.3">
      <c r="F13">
        <f>SUM(F2:F11)</f>
        <v>186137929</v>
      </c>
      <c r="G13">
        <f t="shared" ref="G13:O13" si="0">SUM(G2:G11)</f>
        <v>1604156</v>
      </c>
      <c r="H13">
        <f t="shared" si="0"/>
        <v>32648893</v>
      </c>
      <c r="I13">
        <f t="shared" si="0"/>
        <v>36072987</v>
      </c>
      <c r="J13">
        <f t="shared" si="0"/>
        <v>0</v>
      </c>
      <c r="K13">
        <f t="shared" si="0"/>
        <v>18344706</v>
      </c>
      <c r="L13">
        <f t="shared" si="0"/>
        <v>2151100</v>
      </c>
      <c r="M13">
        <f t="shared" si="0"/>
        <v>7500003</v>
      </c>
      <c r="N13">
        <f t="shared" si="0"/>
        <v>552192.1</v>
      </c>
      <c r="O13">
        <f t="shared" si="0"/>
        <v>519638</v>
      </c>
      <c r="Q13">
        <f>F13+G13+H13+I13+J13+K13+L13-M13</f>
        <v>269459768</v>
      </c>
    </row>
    <row r="15" spans="2:17" x14ac:dyDescent="0.3">
      <c r="M15">
        <f>FYXX_0!M15</f>
        <v>29557131</v>
      </c>
      <c r="O15">
        <f>(SUM(F13:L13))-M13</f>
        <v>269459768</v>
      </c>
      <c r="Q15">
        <f>F13+G13+H13+I13+J13+K13+L13-M15</f>
        <v>247402640</v>
      </c>
    </row>
    <row r="16" spans="2:17" x14ac:dyDescent="0.3">
      <c r="O16">
        <f>O15-Driver!K18</f>
        <v>-3464511</v>
      </c>
    </row>
    <row r="17" spans="1:17" x14ac:dyDescent="0.3">
      <c r="D17" s="58" t="s">
        <v>63</v>
      </c>
      <c r="E17" s="58"/>
      <c r="F17" s="57">
        <f>F13-FY_2024!F14</f>
        <v>852903</v>
      </c>
      <c r="G17" s="57">
        <f>G13-FY_2024!G14</f>
        <v>1025216</v>
      </c>
      <c r="H17" s="57">
        <f>H13-FY_2024!H14</f>
        <v>303855</v>
      </c>
      <c r="I17" s="57">
        <f>I13-FY_2024!I14</f>
        <v>337817</v>
      </c>
      <c r="J17" s="57">
        <f>J13-FY_2024!J14</f>
        <v>-180006</v>
      </c>
      <c r="K17" s="57">
        <f>K13-FY_2024!K14</f>
        <v>184006</v>
      </c>
      <c r="L17" s="57">
        <f>L13-FY_2024!L14</f>
        <v>21835</v>
      </c>
      <c r="M17" s="57">
        <f>M13-FY_2024!M14</f>
        <v>-51614259</v>
      </c>
      <c r="N17" s="55">
        <f>N13-FY_2024!N14</f>
        <v>-2935.1999999999534</v>
      </c>
      <c r="O17" s="55">
        <f>O13-FY_2024!O14</f>
        <v>-292</v>
      </c>
      <c r="P17" s="56"/>
      <c r="Q17" s="57">
        <f>Q15-FY_2024!Q14</f>
        <v>2545626</v>
      </c>
    </row>
    <row r="18" spans="1:17" x14ac:dyDescent="0.3">
      <c r="A18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8"/>
  <sheetViews>
    <sheetView workbookViewId="0">
      <selection activeCell="N23" sqref="N23"/>
    </sheetView>
  </sheetViews>
  <sheetFormatPr defaultRowHeight="14.4" x14ac:dyDescent="0.3"/>
  <cols>
    <col min="1" max="1" width="5.6640625" customWidth="1"/>
    <col min="2" max="2" width="4.88671875" bestFit="1" customWidth="1"/>
    <col min="3" max="3" width="4.44140625" bestFit="1" customWidth="1"/>
    <col min="4" max="4" width="8.5546875" bestFit="1" customWidth="1"/>
    <col min="5" max="5" width="8.6640625" bestFit="1" customWidth="1"/>
    <col min="6" max="6" width="13.109375" bestFit="1" customWidth="1"/>
    <col min="7" max="7" width="11" bestFit="1" customWidth="1"/>
    <col min="8" max="9" width="12" bestFit="1" customWidth="1"/>
    <col min="10" max="10" width="9.33203125" bestFit="1" customWidth="1"/>
    <col min="11" max="11" width="12" bestFit="1" customWidth="1"/>
    <col min="12" max="13" width="11" bestFit="1" customWidth="1"/>
    <col min="14" max="14" width="10.44140625" bestFit="1" customWidth="1"/>
    <col min="15" max="15" width="13.109375" bestFit="1" customWidth="1"/>
    <col min="17" max="17" width="12" bestFit="1" customWidth="1"/>
  </cols>
  <sheetData>
    <row r="1" spans="2:17" ht="15" thickBot="1" x14ac:dyDescent="0.35"/>
    <row r="2" spans="2:17" ht="27.6" x14ac:dyDescent="0.3">
      <c r="B2" s="44" t="s">
        <v>0</v>
      </c>
      <c r="C2" s="45" t="s">
        <v>13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12</v>
      </c>
    </row>
    <row r="3" spans="2:17" x14ac:dyDescent="0.3">
      <c r="B3" s="46">
        <v>1</v>
      </c>
      <c r="C3" s="1">
        <v>1</v>
      </c>
      <c r="D3" s="1">
        <v>0</v>
      </c>
      <c r="E3" s="1">
        <v>21</v>
      </c>
      <c r="F3" s="1">
        <v>11371157</v>
      </c>
      <c r="G3" s="1">
        <v>27287</v>
      </c>
      <c r="H3" s="1">
        <v>1999765</v>
      </c>
      <c r="I3" s="1">
        <v>2227607</v>
      </c>
      <c r="J3" s="1">
        <v>0</v>
      </c>
      <c r="K3" s="1">
        <v>1128552</v>
      </c>
      <c r="L3" s="1">
        <v>122577</v>
      </c>
      <c r="M3" s="1">
        <v>531577</v>
      </c>
      <c r="N3" s="1">
        <v>32200.14</v>
      </c>
      <c r="O3" s="1">
        <v>31557</v>
      </c>
    </row>
    <row r="4" spans="2:17" x14ac:dyDescent="0.3">
      <c r="B4" s="46">
        <v>2</v>
      </c>
      <c r="C4" s="1">
        <v>5</v>
      </c>
      <c r="D4" s="1">
        <v>0</v>
      </c>
      <c r="E4" s="1">
        <v>36</v>
      </c>
      <c r="F4" s="1">
        <v>11744821</v>
      </c>
      <c r="G4" s="1">
        <v>184995</v>
      </c>
      <c r="H4" s="1">
        <v>2022091</v>
      </c>
      <c r="I4" s="1">
        <v>2264614</v>
      </c>
      <c r="J4" s="1">
        <v>0</v>
      </c>
      <c r="K4" s="1">
        <v>1257524</v>
      </c>
      <c r="L4" s="1">
        <v>149455</v>
      </c>
      <c r="M4" s="1">
        <v>565217</v>
      </c>
      <c r="N4" s="1">
        <v>33663.39</v>
      </c>
      <c r="O4" s="1">
        <v>31869</v>
      </c>
    </row>
    <row r="5" spans="2:17" x14ac:dyDescent="0.3">
      <c r="B5" s="46">
        <v>3</v>
      </c>
      <c r="C5" s="1">
        <v>7</v>
      </c>
      <c r="D5" s="1">
        <v>0</v>
      </c>
      <c r="E5" s="1">
        <v>53</v>
      </c>
      <c r="F5" s="1">
        <v>24045380</v>
      </c>
      <c r="G5" s="1">
        <v>176217</v>
      </c>
      <c r="H5" s="1">
        <v>4074970</v>
      </c>
      <c r="I5" s="1">
        <v>4542886</v>
      </c>
      <c r="J5" s="1">
        <v>0</v>
      </c>
      <c r="K5" s="1">
        <v>2977126</v>
      </c>
      <c r="L5" s="1">
        <v>342757</v>
      </c>
      <c r="M5" s="1">
        <v>1049026</v>
      </c>
      <c r="N5" s="1">
        <v>70254.710000000006</v>
      </c>
      <c r="O5" s="1">
        <v>64274</v>
      </c>
    </row>
    <row r="6" spans="2:17" x14ac:dyDescent="0.3">
      <c r="B6" s="46">
        <v>4</v>
      </c>
      <c r="C6" s="1">
        <v>9</v>
      </c>
      <c r="D6" s="1">
        <v>0</v>
      </c>
      <c r="E6" s="1">
        <v>21</v>
      </c>
      <c r="F6" s="1">
        <v>17323797</v>
      </c>
      <c r="G6" s="1">
        <v>213509</v>
      </c>
      <c r="H6" s="1">
        <v>3009677</v>
      </c>
      <c r="I6" s="1">
        <v>3289547</v>
      </c>
      <c r="J6" s="1">
        <v>0</v>
      </c>
      <c r="K6" s="1">
        <v>1604280</v>
      </c>
      <c r="L6" s="1">
        <v>188222</v>
      </c>
      <c r="M6" s="1">
        <v>763328</v>
      </c>
      <c r="N6" s="1">
        <v>50967.33</v>
      </c>
      <c r="O6" s="1">
        <v>47841</v>
      </c>
    </row>
    <row r="7" spans="2:17" x14ac:dyDescent="0.3">
      <c r="B7" s="46">
        <v>5</v>
      </c>
      <c r="C7" s="1">
        <v>10</v>
      </c>
      <c r="D7" s="1">
        <v>0</v>
      </c>
      <c r="E7" s="1">
        <v>32</v>
      </c>
      <c r="F7" s="1">
        <v>26224400</v>
      </c>
      <c r="G7" s="1">
        <v>155144</v>
      </c>
      <c r="H7" s="1">
        <v>4668725</v>
      </c>
      <c r="I7" s="1">
        <v>5132711</v>
      </c>
      <c r="J7" s="1">
        <v>0</v>
      </c>
      <c r="K7" s="1">
        <v>2492290</v>
      </c>
      <c r="L7" s="1">
        <v>290225</v>
      </c>
      <c r="M7" s="1">
        <v>969435</v>
      </c>
      <c r="N7" s="1">
        <v>77591.58</v>
      </c>
      <c r="O7" s="1">
        <v>74001</v>
      </c>
    </row>
    <row r="8" spans="2:17" x14ac:dyDescent="0.3">
      <c r="B8" s="46">
        <v>6</v>
      </c>
      <c r="C8" s="1">
        <v>11</v>
      </c>
      <c r="D8" s="1">
        <v>0</v>
      </c>
      <c r="E8" s="1">
        <v>53</v>
      </c>
      <c r="F8" s="1">
        <v>53449180</v>
      </c>
      <c r="G8" s="1">
        <v>91857</v>
      </c>
      <c r="H8" s="1">
        <v>9615519</v>
      </c>
      <c r="I8" s="1">
        <v>10563786</v>
      </c>
      <c r="J8" s="1">
        <v>0</v>
      </c>
      <c r="K8" s="1">
        <v>4569542</v>
      </c>
      <c r="L8" s="1">
        <v>572488</v>
      </c>
      <c r="M8" s="1">
        <v>1717436</v>
      </c>
      <c r="N8" s="1">
        <v>161536.45000000001</v>
      </c>
      <c r="O8" s="1">
        <v>152700</v>
      </c>
    </row>
    <row r="9" spans="2:17" x14ac:dyDescent="0.3">
      <c r="B9" s="46">
        <v>7</v>
      </c>
      <c r="C9" s="1">
        <v>12</v>
      </c>
      <c r="D9" s="1">
        <v>0</v>
      </c>
      <c r="E9" s="1">
        <v>34</v>
      </c>
      <c r="F9" s="1">
        <v>15617721</v>
      </c>
      <c r="G9" s="1">
        <v>110804</v>
      </c>
      <c r="H9" s="1">
        <v>2847792</v>
      </c>
      <c r="I9" s="1">
        <v>3188373</v>
      </c>
      <c r="J9" s="1">
        <v>0</v>
      </c>
      <c r="K9" s="1">
        <v>1582956</v>
      </c>
      <c r="L9" s="1">
        <v>188671</v>
      </c>
      <c r="M9" s="1">
        <v>642407</v>
      </c>
      <c r="N9" s="1">
        <v>45200.63</v>
      </c>
      <c r="O9" s="1">
        <v>44932</v>
      </c>
    </row>
    <row r="10" spans="2:17" x14ac:dyDescent="0.3">
      <c r="B10" s="46">
        <v>8</v>
      </c>
      <c r="C10" s="1">
        <v>13</v>
      </c>
      <c r="D10" s="1">
        <v>0</v>
      </c>
      <c r="E10" s="1">
        <v>43</v>
      </c>
      <c r="F10" s="1">
        <v>14445000</v>
      </c>
      <c r="G10" s="1">
        <v>128530</v>
      </c>
      <c r="H10" s="1">
        <v>2378935</v>
      </c>
      <c r="I10" s="1">
        <v>2630027</v>
      </c>
      <c r="J10" s="1">
        <v>0</v>
      </c>
      <c r="K10" s="1">
        <v>1493615</v>
      </c>
      <c r="L10" s="1">
        <v>161330</v>
      </c>
      <c r="M10" s="1">
        <v>652688</v>
      </c>
      <c r="N10" s="1">
        <v>42618.17</v>
      </c>
      <c r="O10" s="1">
        <v>37701</v>
      </c>
    </row>
    <row r="11" spans="2:17" x14ac:dyDescent="0.3">
      <c r="B11" s="46">
        <v>9</v>
      </c>
      <c r="C11" s="1">
        <v>15</v>
      </c>
      <c r="D11" s="1">
        <v>0</v>
      </c>
      <c r="E11" s="1">
        <v>32</v>
      </c>
      <c r="F11" s="1">
        <v>12833107</v>
      </c>
      <c r="G11" s="1">
        <v>183340</v>
      </c>
      <c r="H11" s="1">
        <v>2192502</v>
      </c>
      <c r="I11" s="1">
        <v>2410121</v>
      </c>
      <c r="J11" s="1">
        <v>0</v>
      </c>
      <c r="K11" s="1">
        <v>1301407</v>
      </c>
      <c r="L11" s="1">
        <v>142710</v>
      </c>
      <c r="M11" s="1">
        <v>608889</v>
      </c>
      <c r="N11" s="1">
        <v>38159.699999999997</v>
      </c>
      <c r="O11" s="1">
        <v>34763</v>
      </c>
    </row>
    <row r="13" spans="2:17" x14ac:dyDescent="0.3">
      <c r="F13">
        <f>SUM(F2:F11)</f>
        <v>187054563</v>
      </c>
      <c r="G13">
        <f t="shared" ref="G13:O13" si="0">SUM(G2:G11)</f>
        <v>1271683</v>
      </c>
      <c r="H13">
        <f t="shared" si="0"/>
        <v>32809976</v>
      </c>
      <c r="I13">
        <f t="shared" si="0"/>
        <v>36249672</v>
      </c>
      <c r="J13">
        <f t="shared" si="0"/>
        <v>0</v>
      </c>
      <c r="K13">
        <f t="shared" si="0"/>
        <v>18407292</v>
      </c>
      <c r="L13">
        <f t="shared" si="0"/>
        <v>2158435</v>
      </c>
      <c r="M13">
        <f t="shared" si="0"/>
        <v>7500003</v>
      </c>
      <c r="N13">
        <f t="shared" si="0"/>
        <v>552192.1</v>
      </c>
      <c r="O13">
        <f t="shared" si="0"/>
        <v>519638</v>
      </c>
      <c r="Q13">
        <f>F13+G13+H13+I13+J13+K13+L13-M13</f>
        <v>270451618</v>
      </c>
    </row>
    <row r="15" spans="2:17" x14ac:dyDescent="0.3">
      <c r="M15">
        <f>FYXX_0!M15</f>
        <v>29557131</v>
      </c>
      <c r="O15">
        <f>(SUM(F13:L13))-M13</f>
        <v>270451618</v>
      </c>
      <c r="Q15">
        <f>F13+G13+H13+I13+J13+K13+L13-M15</f>
        <v>248394490</v>
      </c>
    </row>
    <row r="16" spans="2:17" x14ac:dyDescent="0.3">
      <c r="O16">
        <f>O15-Driver!K18</f>
        <v>-2472661</v>
      </c>
    </row>
    <row r="17" spans="1:17" x14ac:dyDescent="0.3">
      <c r="D17" s="58" t="s">
        <v>63</v>
      </c>
      <c r="E17" s="58"/>
      <c r="F17" s="57">
        <f>F13-FY_2024!F14</f>
        <v>1769537</v>
      </c>
      <c r="G17" s="57">
        <f>G13-FY_2024!G14</f>
        <v>692743</v>
      </c>
      <c r="H17" s="57">
        <f>H13-FY_2024!H14</f>
        <v>464938</v>
      </c>
      <c r="I17" s="57">
        <f>I13-FY_2024!I14</f>
        <v>514502</v>
      </c>
      <c r="J17" s="57">
        <f>J13-FY_2024!J14</f>
        <v>-180006</v>
      </c>
      <c r="K17" s="57">
        <f>K13-FY_2024!K14</f>
        <v>246592</v>
      </c>
      <c r="L17" s="57">
        <f>L13-FY_2024!L14</f>
        <v>29170</v>
      </c>
      <c r="M17" s="57">
        <f>M13-FY_2024!M14</f>
        <v>-51614259</v>
      </c>
      <c r="N17" s="55">
        <f>N13-FY_2024!N14</f>
        <v>-2935.1999999999534</v>
      </c>
      <c r="O17" s="55">
        <f>O13-FY_2024!O14</f>
        <v>-292</v>
      </c>
      <c r="P17" s="56"/>
      <c r="Q17" s="57">
        <f>Q15-FY_2024!Q14</f>
        <v>3537476</v>
      </c>
    </row>
    <row r="18" spans="1:17" x14ac:dyDescent="0.3">
      <c r="A18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8"/>
  <sheetViews>
    <sheetView workbookViewId="0">
      <selection activeCell="H21" sqref="H21"/>
    </sheetView>
  </sheetViews>
  <sheetFormatPr defaultRowHeight="14.4" x14ac:dyDescent="0.3"/>
  <cols>
    <col min="1" max="1" width="10.6640625" bestFit="1" customWidth="1"/>
    <col min="2" max="2" width="4.88671875" bestFit="1" customWidth="1"/>
    <col min="3" max="3" width="4.44140625" bestFit="1" customWidth="1"/>
    <col min="4" max="4" width="8.5546875" bestFit="1" customWidth="1"/>
    <col min="5" max="5" width="8.6640625" bestFit="1" customWidth="1"/>
    <col min="6" max="6" width="13.109375" bestFit="1" customWidth="1"/>
    <col min="7" max="7" width="11" bestFit="1" customWidth="1"/>
    <col min="8" max="9" width="12" bestFit="1" customWidth="1"/>
    <col min="10" max="10" width="9.33203125" bestFit="1" customWidth="1"/>
    <col min="11" max="11" width="12" bestFit="1" customWidth="1"/>
    <col min="12" max="13" width="11" bestFit="1" customWidth="1"/>
    <col min="14" max="14" width="10.44140625" bestFit="1" customWidth="1"/>
    <col min="15" max="15" width="12" bestFit="1" customWidth="1"/>
    <col min="16" max="16" width="3.44140625" customWidth="1"/>
    <col min="17" max="17" width="12" bestFit="1" customWidth="1"/>
  </cols>
  <sheetData>
    <row r="1" spans="2:17" ht="15" thickBot="1" x14ac:dyDescent="0.35"/>
    <row r="2" spans="2:17" ht="27.6" x14ac:dyDescent="0.3">
      <c r="B2" s="44" t="s">
        <v>0</v>
      </c>
      <c r="C2" s="45" t="s">
        <v>13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12</v>
      </c>
    </row>
    <row r="3" spans="2:17" x14ac:dyDescent="0.3">
      <c r="B3" s="46">
        <v>1</v>
      </c>
      <c r="C3" s="1">
        <v>1</v>
      </c>
      <c r="D3" s="1">
        <v>0</v>
      </c>
      <c r="E3" s="1">
        <v>21</v>
      </c>
      <c r="F3" s="1">
        <v>11424929</v>
      </c>
      <c r="G3" s="1">
        <v>19002</v>
      </c>
      <c r="H3" s="1">
        <v>2009550</v>
      </c>
      <c r="I3" s="1">
        <v>2238336</v>
      </c>
      <c r="J3" s="1">
        <v>0</v>
      </c>
      <c r="K3" s="1">
        <v>1133579</v>
      </c>
      <c r="L3" s="1">
        <v>123146</v>
      </c>
      <c r="M3" s="1">
        <v>531577</v>
      </c>
      <c r="N3" s="1">
        <v>32200.14</v>
      </c>
      <c r="O3" s="1">
        <v>31557</v>
      </c>
    </row>
    <row r="4" spans="2:17" x14ac:dyDescent="0.3">
      <c r="B4" s="46">
        <v>2</v>
      </c>
      <c r="C4" s="1">
        <v>5</v>
      </c>
      <c r="D4" s="1">
        <v>0</v>
      </c>
      <c r="E4" s="1">
        <v>36</v>
      </c>
      <c r="F4" s="1">
        <v>11801039</v>
      </c>
      <c r="G4" s="1">
        <v>157817</v>
      </c>
      <c r="H4" s="1">
        <v>2031968</v>
      </c>
      <c r="I4" s="1">
        <v>2275445</v>
      </c>
      <c r="J4" s="1">
        <v>0</v>
      </c>
      <c r="K4" s="1">
        <v>1260734</v>
      </c>
      <c r="L4" s="1">
        <v>149807</v>
      </c>
      <c r="M4" s="1">
        <v>565217</v>
      </c>
      <c r="N4" s="1">
        <v>33663.39</v>
      </c>
      <c r="O4" s="1">
        <v>31869</v>
      </c>
    </row>
    <row r="5" spans="2:17" x14ac:dyDescent="0.3">
      <c r="B5" s="46">
        <v>3</v>
      </c>
      <c r="C5" s="1">
        <v>7</v>
      </c>
      <c r="D5" s="1">
        <v>0</v>
      </c>
      <c r="E5" s="1">
        <v>53</v>
      </c>
      <c r="F5" s="1">
        <v>24162702</v>
      </c>
      <c r="G5" s="1">
        <v>145927</v>
      </c>
      <c r="H5" s="1">
        <v>4094893</v>
      </c>
      <c r="I5" s="1">
        <v>4564740</v>
      </c>
      <c r="J5" s="1">
        <v>0</v>
      </c>
      <c r="K5" s="1">
        <v>2986470</v>
      </c>
      <c r="L5" s="1">
        <v>343805</v>
      </c>
      <c r="M5" s="1">
        <v>1049026</v>
      </c>
      <c r="N5" s="1">
        <v>70254.710000000006</v>
      </c>
      <c r="O5" s="1">
        <v>64274</v>
      </c>
    </row>
    <row r="6" spans="2:17" x14ac:dyDescent="0.3">
      <c r="B6" s="46">
        <v>4</v>
      </c>
      <c r="C6" s="1">
        <v>9</v>
      </c>
      <c r="D6" s="1">
        <v>0</v>
      </c>
      <c r="E6" s="1">
        <v>21</v>
      </c>
      <c r="F6" s="1">
        <v>17408909</v>
      </c>
      <c r="G6" s="1">
        <v>156162</v>
      </c>
      <c r="H6" s="1">
        <v>3024507</v>
      </c>
      <c r="I6" s="1">
        <v>3305813</v>
      </c>
      <c r="J6" s="1">
        <v>0</v>
      </c>
      <c r="K6" s="1">
        <v>1608300</v>
      </c>
      <c r="L6" s="1">
        <v>188652</v>
      </c>
      <c r="M6" s="1">
        <v>763328</v>
      </c>
      <c r="N6" s="1">
        <v>50967.33</v>
      </c>
      <c r="O6" s="1">
        <v>47841</v>
      </c>
    </row>
    <row r="7" spans="2:17" x14ac:dyDescent="0.3">
      <c r="B7" s="46">
        <v>5</v>
      </c>
      <c r="C7" s="1">
        <v>10</v>
      </c>
      <c r="D7" s="1">
        <v>0</v>
      </c>
      <c r="E7" s="1">
        <v>32</v>
      </c>
      <c r="F7" s="1">
        <v>26353981</v>
      </c>
      <c r="G7" s="1">
        <v>124803</v>
      </c>
      <c r="H7" s="1">
        <v>4691665</v>
      </c>
      <c r="I7" s="1">
        <v>5157871</v>
      </c>
      <c r="J7" s="1">
        <v>0</v>
      </c>
      <c r="K7" s="1">
        <v>2503378</v>
      </c>
      <c r="L7" s="1">
        <v>291455</v>
      </c>
      <c r="M7" s="1">
        <v>969435</v>
      </c>
      <c r="N7" s="1">
        <v>77591.58</v>
      </c>
      <c r="O7" s="1">
        <v>74001</v>
      </c>
    </row>
    <row r="8" spans="2:17" x14ac:dyDescent="0.3">
      <c r="B8" s="46">
        <v>6</v>
      </c>
      <c r="C8" s="1">
        <v>11</v>
      </c>
      <c r="D8" s="1">
        <v>0</v>
      </c>
      <c r="E8" s="1">
        <v>53</v>
      </c>
      <c r="F8" s="1">
        <v>53718945</v>
      </c>
      <c r="G8" s="1">
        <v>59953</v>
      </c>
      <c r="H8" s="1">
        <v>9662858</v>
      </c>
      <c r="I8" s="1">
        <v>10615699</v>
      </c>
      <c r="J8" s="1">
        <v>0</v>
      </c>
      <c r="K8" s="1">
        <v>4596985</v>
      </c>
      <c r="L8" s="1">
        <v>575470</v>
      </c>
      <c r="M8" s="1">
        <v>1717436</v>
      </c>
      <c r="N8" s="1">
        <v>161536.45000000001</v>
      </c>
      <c r="O8" s="1">
        <v>152700</v>
      </c>
    </row>
    <row r="9" spans="2:17" x14ac:dyDescent="0.3">
      <c r="B9" s="46">
        <v>7</v>
      </c>
      <c r="C9" s="1">
        <v>12</v>
      </c>
      <c r="D9" s="1">
        <v>0</v>
      </c>
      <c r="E9" s="1">
        <v>34</v>
      </c>
      <c r="F9" s="1">
        <v>15693206</v>
      </c>
      <c r="G9" s="1">
        <v>93663</v>
      </c>
      <c r="H9" s="1">
        <v>2861718</v>
      </c>
      <c r="I9" s="1">
        <v>3203653</v>
      </c>
      <c r="J9" s="1">
        <v>0</v>
      </c>
      <c r="K9" s="1">
        <v>1589340</v>
      </c>
      <c r="L9" s="1">
        <v>189374</v>
      </c>
      <c r="M9" s="1">
        <v>642407</v>
      </c>
      <c r="N9" s="1">
        <v>45200.63</v>
      </c>
      <c r="O9" s="1">
        <v>44932</v>
      </c>
    </row>
    <row r="10" spans="2:17" x14ac:dyDescent="0.3">
      <c r="B10" s="46">
        <v>8</v>
      </c>
      <c r="C10" s="1">
        <v>13</v>
      </c>
      <c r="D10" s="1">
        <v>0</v>
      </c>
      <c r="E10" s="1">
        <v>43</v>
      </c>
      <c r="F10" s="1">
        <v>14516176</v>
      </c>
      <c r="G10" s="1">
        <v>112752</v>
      </c>
      <c r="H10" s="1">
        <v>2390620</v>
      </c>
      <c r="I10" s="1">
        <v>2642842</v>
      </c>
      <c r="J10" s="1">
        <v>0</v>
      </c>
      <c r="K10" s="1">
        <v>1499802</v>
      </c>
      <c r="L10" s="1">
        <v>162036</v>
      </c>
      <c r="M10" s="1">
        <v>652688</v>
      </c>
      <c r="N10" s="1">
        <v>42618.17</v>
      </c>
      <c r="O10" s="1">
        <v>37701</v>
      </c>
    </row>
    <row r="11" spans="2:17" x14ac:dyDescent="0.3">
      <c r="B11" s="46">
        <v>9</v>
      </c>
      <c r="C11" s="1">
        <v>15</v>
      </c>
      <c r="D11" s="1">
        <v>0</v>
      </c>
      <c r="E11" s="1">
        <v>32</v>
      </c>
      <c r="F11" s="1">
        <v>12896835</v>
      </c>
      <c r="G11" s="1">
        <v>144504</v>
      </c>
      <c r="H11" s="1">
        <v>2203281</v>
      </c>
      <c r="I11" s="1">
        <v>2421937</v>
      </c>
      <c r="J11" s="1">
        <v>0</v>
      </c>
      <c r="K11" s="1">
        <v>1304383</v>
      </c>
      <c r="L11" s="1">
        <v>143058</v>
      </c>
      <c r="M11" s="1">
        <v>608889</v>
      </c>
      <c r="N11" s="1">
        <v>38159.699999999997</v>
      </c>
      <c r="O11" s="1">
        <v>34763</v>
      </c>
    </row>
    <row r="13" spans="2:17" x14ac:dyDescent="0.3">
      <c r="F13">
        <f>SUM(F2:F11)</f>
        <v>187976722</v>
      </c>
      <c r="G13">
        <f t="shared" ref="G13:O13" si="0">SUM(G2:G11)</f>
        <v>1014583</v>
      </c>
      <c r="H13">
        <f t="shared" si="0"/>
        <v>32971060</v>
      </c>
      <c r="I13">
        <f t="shared" si="0"/>
        <v>36426336</v>
      </c>
      <c r="J13">
        <f t="shared" si="0"/>
        <v>0</v>
      </c>
      <c r="K13">
        <f t="shared" si="0"/>
        <v>18482971</v>
      </c>
      <c r="L13">
        <f t="shared" si="0"/>
        <v>2166803</v>
      </c>
      <c r="M13">
        <f t="shared" si="0"/>
        <v>7500003</v>
      </c>
      <c r="N13">
        <f t="shared" si="0"/>
        <v>552192.1</v>
      </c>
      <c r="O13">
        <f t="shared" si="0"/>
        <v>519638</v>
      </c>
      <c r="Q13">
        <f>F13+G13+H13+I13+J13+K13+L13-M13</f>
        <v>271538472</v>
      </c>
    </row>
    <row r="15" spans="2:17" x14ac:dyDescent="0.3">
      <c r="M15">
        <f>FYXX_0!M15</f>
        <v>29557131</v>
      </c>
      <c r="O15">
        <f>(SUM(F13:L13))-M13</f>
        <v>271538472</v>
      </c>
      <c r="Q15">
        <f>F13+G13+H13+I13+J13+K13+L13-M15</f>
        <v>249481344</v>
      </c>
    </row>
    <row r="16" spans="2:17" x14ac:dyDescent="0.3">
      <c r="O16">
        <f>O15-Driver!K18</f>
        <v>-1385807</v>
      </c>
    </row>
    <row r="17" spans="1:17" x14ac:dyDescent="0.3">
      <c r="D17" s="58" t="s">
        <v>63</v>
      </c>
      <c r="E17" s="58"/>
      <c r="F17" s="57">
        <f>F13-FY_2024!F14</f>
        <v>2691696</v>
      </c>
      <c r="G17" s="57">
        <f>G13-FY_2024!G14</f>
        <v>435643</v>
      </c>
      <c r="H17" s="57">
        <f>H13-FY_2024!H14</f>
        <v>626022</v>
      </c>
      <c r="I17" s="57">
        <f>I13-FY_2024!I14</f>
        <v>691166</v>
      </c>
      <c r="J17" s="57">
        <f>J13-FY_2024!J14</f>
        <v>-180006</v>
      </c>
      <c r="K17" s="57">
        <f>K13-FY_2024!K14</f>
        <v>322271</v>
      </c>
      <c r="L17" s="57">
        <f>L13-FY_2024!L14</f>
        <v>37538</v>
      </c>
      <c r="M17" s="57">
        <f>M13-FY_2024!M14</f>
        <v>-51614259</v>
      </c>
      <c r="N17" s="55">
        <f>N13-FY_2024!N14</f>
        <v>-2935.1999999999534</v>
      </c>
      <c r="O17" s="55">
        <f>O13-FY_2024!O14</f>
        <v>-292</v>
      </c>
      <c r="P17" s="56"/>
      <c r="Q17" s="57">
        <f>Q15-FY_2024!Q14</f>
        <v>4624330</v>
      </c>
    </row>
    <row r="18" spans="1:17" x14ac:dyDescent="0.3">
      <c r="A18" t="s">
        <v>74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8"/>
  <sheetViews>
    <sheetView workbookViewId="0">
      <selection activeCell="I23" sqref="I23"/>
    </sheetView>
  </sheetViews>
  <sheetFormatPr defaultRowHeight="14.4" x14ac:dyDescent="0.3"/>
  <cols>
    <col min="1" max="1" width="5.6640625" customWidth="1"/>
    <col min="2" max="2" width="4.88671875" bestFit="1" customWidth="1"/>
    <col min="3" max="3" width="4.44140625" bestFit="1" customWidth="1"/>
    <col min="4" max="4" width="8.5546875" bestFit="1" customWidth="1"/>
    <col min="5" max="5" width="8.6640625" bestFit="1" customWidth="1"/>
    <col min="6" max="6" width="13.109375" bestFit="1" customWidth="1"/>
    <col min="7" max="7" width="11" bestFit="1" customWidth="1"/>
    <col min="8" max="9" width="12" bestFit="1" customWidth="1"/>
    <col min="10" max="10" width="9.33203125" bestFit="1" customWidth="1"/>
    <col min="11" max="11" width="12" bestFit="1" customWidth="1"/>
    <col min="12" max="13" width="11" bestFit="1" customWidth="1"/>
    <col min="14" max="14" width="10.44140625" bestFit="1" customWidth="1"/>
    <col min="15" max="15" width="13.109375" bestFit="1" customWidth="1"/>
    <col min="16" max="16" width="2.5546875" customWidth="1"/>
    <col min="17" max="17" width="12" bestFit="1" customWidth="1"/>
  </cols>
  <sheetData>
    <row r="1" spans="2:17" ht="15" thickBot="1" x14ac:dyDescent="0.35"/>
    <row r="2" spans="2:17" ht="27.6" x14ac:dyDescent="0.3">
      <c r="B2" s="44" t="s">
        <v>0</v>
      </c>
      <c r="C2" s="45" t="s">
        <v>13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12</v>
      </c>
    </row>
    <row r="3" spans="2:17" x14ac:dyDescent="0.3">
      <c r="B3" s="46">
        <v>1</v>
      </c>
      <c r="C3" s="1">
        <v>1</v>
      </c>
      <c r="D3" s="1">
        <v>0</v>
      </c>
      <c r="E3" s="1">
        <v>21</v>
      </c>
      <c r="F3" s="1">
        <v>11478707</v>
      </c>
      <c r="G3" s="1">
        <v>14190</v>
      </c>
      <c r="H3" s="1">
        <v>2019332</v>
      </c>
      <c r="I3" s="1">
        <v>2249384</v>
      </c>
      <c r="J3" s="1">
        <v>0</v>
      </c>
      <c r="K3" s="1">
        <v>1138765</v>
      </c>
      <c r="L3" s="1">
        <v>123768</v>
      </c>
      <c r="M3" s="1">
        <v>531577</v>
      </c>
      <c r="N3" s="1">
        <v>32200.14</v>
      </c>
      <c r="O3" s="1">
        <v>31557</v>
      </c>
    </row>
    <row r="4" spans="2:17" x14ac:dyDescent="0.3">
      <c r="B4" s="46">
        <v>2</v>
      </c>
      <c r="C4" s="1">
        <v>5</v>
      </c>
      <c r="D4" s="1">
        <v>0</v>
      </c>
      <c r="E4" s="1">
        <v>36</v>
      </c>
      <c r="F4" s="1">
        <v>11857256</v>
      </c>
      <c r="G4" s="1">
        <v>136522</v>
      </c>
      <c r="H4" s="1">
        <v>2041846</v>
      </c>
      <c r="I4" s="1">
        <v>2286608</v>
      </c>
      <c r="J4" s="1">
        <v>0</v>
      </c>
      <c r="K4" s="1">
        <v>1264476</v>
      </c>
      <c r="L4" s="1">
        <v>150245</v>
      </c>
      <c r="M4" s="1">
        <v>565217</v>
      </c>
      <c r="N4" s="1">
        <v>33663.39</v>
      </c>
      <c r="O4" s="1">
        <v>31869</v>
      </c>
    </row>
    <row r="5" spans="2:17" x14ac:dyDescent="0.3">
      <c r="B5" s="46">
        <v>3</v>
      </c>
      <c r="C5" s="1">
        <v>7</v>
      </c>
      <c r="D5" s="1">
        <v>0</v>
      </c>
      <c r="E5" s="1">
        <v>53</v>
      </c>
      <c r="F5" s="1">
        <v>24280029</v>
      </c>
      <c r="G5" s="1">
        <v>121006</v>
      </c>
      <c r="H5" s="1">
        <v>4114822</v>
      </c>
      <c r="I5" s="1">
        <v>4587236</v>
      </c>
      <c r="J5" s="1">
        <v>0</v>
      </c>
      <c r="K5" s="1">
        <v>2996491</v>
      </c>
      <c r="L5" s="1">
        <v>344979</v>
      </c>
      <c r="M5" s="1">
        <v>1049026</v>
      </c>
      <c r="N5" s="1">
        <v>70254.710000000006</v>
      </c>
      <c r="O5" s="1">
        <v>64274</v>
      </c>
    </row>
    <row r="6" spans="2:17" x14ac:dyDescent="0.3">
      <c r="B6" s="46">
        <v>4</v>
      </c>
      <c r="C6" s="1">
        <v>9</v>
      </c>
      <c r="D6" s="1">
        <v>0</v>
      </c>
      <c r="E6" s="1">
        <v>21</v>
      </c>
      <c r="F6" s="1">
        <v>17494029</v>
      </c>
      <c r="G6" s="1">
        <v>106079</v>
      </c>
      <c r="H6" s="1">
        <v>3039340</v>
      </c>
      <c r="I6" s="1">
        <v>3322556</v>
      </c>
      <c r="J6" s="1">
        <v>0</v>
      </c>
      <c r="K6" s="1">
        <v>1615159</v>
      </c>
      <c r="L6" s="1">
        <v>189457</v>
      </c>
      <c r="M6" s="1">
        <v>763328</v>
      </c>
      <c r="N6" s="1">
        <v>50967.33</v>
      </c>
      <c r="O6" s="1">
        <v>47841</v>
      </c>
    </row>
    <row r="7" spans="2:17" x14ac:dyDescent="0.3">
      <c r="B7" s="46">
        <v>5</v>
      </c>
      <c r="C7" s="1">
        <v>10</v>
      </c>
      <c r="D7" s="1">
        <v>0</v>
      </c>
      <c r="E7" s="1">
        <v>32</v>
      </c>
      <c r="F7" s="1">
        <v>26483558</v>
      </c>
      <c r="G7" s="1">
        <v>106540</v>
      </c>
      <c r="H7" s="1">
        <v>4714605</v>
      </c>
      <c r="I7" s="1">
        <v>5183772</v>
      </c>
      <c r="J7" s="1">
        <v>0</v>
      </c>
      <c r="K7" s="1">
        <v>2515498</v>
      </c>
      <c r="L7" s="1">
        <v>292879</v>
      </c>
      <c r="M7" s="1">
        <v>969435</v>
      </c>
      <c r="N7" s="1">
        <v>77591.58</v>
      </c>
      <c r="O7" s="1">
        <v>74001</v>
      </c>
    </row>
    <row r="8" spans="2:17" x14ac:dyDescent="0.3">
      <c r="B8" s="46">
        <v>6</v>
      </c>
      <c r="C8" s="1">
        <v>11</v>
      </c>
      <c r="D8" s="1">
        <v>0</v>
      </c>
      <c r="E8" s="1">
        <v>53</v>
      </c>
      <c r="F8" s="1">
        <v>53988712</v>
      </c>
      <c r="G8" s="1">
        <v>47405</v>
      </c>
      <c r="H8" s="1">
        <v>9710191</v>
      </c>
      <c r="I8" s="1">
        <v>10669149</v>
      </c>
      <c r="J8" s="1">
        <v>0</v>
      </c>
      <c r="K8" s="1">
        <v>4623627</v>
      </c>
      <c r="L8" s="1">
        <v>578590</v>
      </c>
      <c r="M8" s="1">
        <v>1717436</v>
      </c>
      <c r="N8" s="1">
        <v>161536.45000000001</v>
      </c>
      <c r="O8" s="1">
        <v>152700</v>
      </c>
    </row>
    <row r="9" spans="2:17" x14ac:dyDescent="0.3">
      <c r="B9" s="46">
        <v>7</v>
      </c>
      <c r="C9" s="1">
        <v>12</v>
      </c>
      <c r="D9" s="1">
        <v>0</v>
      </c>
      <c r="E9" s="1">
        <v>34</v>
      </c>
      <c r="F9" s="1">
        <v>15768694</v>
      </c>
      <c r="G9" s="1">
        <v>79923</v>
      </c>
      <c r="H9" s="1">
        <v>2875648</v>
      </c>
      <c r="I9" s="1">
        <v>3219377</v>
      </c>
      <c r="J9" s="1">
        <v>0</v>
      </c>
      <c r="K9" s="1">
        <v>1595683</v>
      </c>
      <c r="L9" s="1">
        <v>190119</v>
      </c>
      <c r="M9" s="1">
        <v>642407</v>
      </c>
      <c r="N9" s="1">
        <v>45200.63</v>
      </c>
      <c r="O9" s="1">
        <v>44932</v>
      </c>
    </row>
    <row r="10" spans="2:17" x14ac:dyDescent="0.3">
      <c r="B10" s="46">
        <v>8</v>
      </c>
      <c r="C10" s="1">
        <v>13</v>
      </c>
      <c r="D10" s="1">
        <v>0</v>
      </c>
      <c r="E10" s="1">
        <v>43</v>
      </c>
      <c r="F10" s="1">
        <v>14587350</v>
      </c>
      <c r="G10" s="1">
        <v>101172</v>
      </c>
      <c r="H10" s="1">
        <v>2402307</v>
      </c>
      <c r="I10" s="1">
        <v>2656038</v>
      </c>
      <c r="J10" s="1">
        <v>0</v>
      </c>
      <c r="K10" s="1">
        <v>1506072</v>
      </c>
      <c r="L10" s="1">
        <v>162778</v>
      </c>
      <c r="M10" s="1">
        <v>652688</v>
      </c>
      <c r="N10" s="1">
        <v>42618.17</v>
      </c>
      <c r="O10" s="1">
        <v>37701</v>
      </c>
    </row>
    <row r="11" spans="2:17" x14ac:dyDescent="0.3">
      <c r="B11" s="46">
        <v>9</v>
      </c>
      <c r="C11" s="1">
        <v>15</v>
      </c>
      <c r="D11" s="1">
        <v>0</v>
      </c>
      <c r="E11" s="1">
        <v>32</v>
      </c>
      <c r="F11" s="1">
        <v>12960559</v>
      </c>
      <c r="G11" s="1">
        <v>121002</v>
      </c>
      <c r="H11" s="1">
        <v>2214056</v>
      </c>
      <c r="I11" s="1">
        <v>2434104</v>
      </c>
      <c r="J11" s="1">
        <v>0</v>
      </c>
      <c r="K11" s="1">
        <v>1308946</v>
      </c>
      <c r="L11" s="1">
        <v>143643</v>
      </c>
      <c r="M11" s="1">
        <v>608889</v>
      </c>
      <c r="N11" s="1">
        <v>38159.699999999997</v>
      </c>
      <c r="O11" s="1">
        <v>34763</v>
      </c>
    </row>
    <row r="13" spans="2:17" x14ac:dyDescent="0.3">
      <c r="F13">
        <f>SUM(F2:F11)</f>
        <v>188898894</v>
      </c>
      <c r="G13">
        <f t="shared" ref="G13:O13" si="0">SUM(G2:G11)</f>
        <v>833839</v>
      </c>
      <c r="H13">
        <f t="shared" si="0"/>
        <v>33132147</v>
      </c>
      <c r="I13">
        <f t="shared" si="0"/>
        <v>36608224</v>
      </c>
      <c r="J13">
        <f t="shared" si="0"/>
        <v>0</v>
      </c>
      <c r="K13">
        <f t="shared" si="0"/>
        <v>18564717</v>
      </c>
      <c r="L13">
        <f t="shared" si="0"/>
        <v>2176458</v>
      </c>
      <c r="M13">
        <f t="shared" si="0"/>
        <v>7500003</v>
      </c>
      <c r="N13">
        <f t="shared" si="0"/>
        <v>552192.1</v>
      </c>
      <c r="O13">
        <f t="shared" si="0"/>
        <v>519638</v>
      </c>
      <c r="Q13">
        <f>F13+G13+H13+I13+J13+K13+L13-M13</f>
        <v>272714276</v>
      </c>
    </row>
    <row r="15" spans="2:17" x14ac:dyDescent="0.3">
      <c r="M15">
        <f>FYXX_0!M15</f>
        <v>29557131</v>
      </c>
      <c r="O15">
        <f>(SUM(F13:L13))-M13</f>
        <v>272714276</v>
      </c>
      <c r="Q15">
        <f>F13+G13+H13+I13+J13+K13+L13-M15</f>
        <v>250657148</v>
      </c>
    </row>
    <row r="16" spans="2:17" x14ac:dyDescent="0.3">
      <c r="O16">
        <f>O15-Driver!K18</f>
        <v>-210003</v>
      </c>
    </row>
    <row r="17" spans="1:17" x14ac:dyDescent="0.3">
      <c r="D17" s="58" t="s">
        <v>63</v>
      </c>
      <c r="E17" s="58"/>
      <c r="F17" s="57">
        <f>F13-FY_2024!F14</f>
        <v>3613868</v>
      </c>
      <c r="G17" s="57">
        <f>G13-FY_2024!G14</f>
        <v>254899</v>
      </c>
      <c r="H17" s="57">
        <f>H13-FY_2024!H14</f>
        <v>787109</v>
      </c>
      <c r="I17" s="57">
        <f>I13-FY_2024!I14</f>
        <v>873054</v>
      </c>
      <c r="J17" s="57">
        <f>J13-FY_2024!J14</f>
        <v>-180006</v>
      </c>
      <c r="K17" s="57">
        <f>K13-FY_2024!K14</f>
        <v>404017</v>
      </c>
      <c r="L17" s="57">
        <f>L13-FY_2024!L14</f>
        <v>47193</v>
      </c>
      <c r="M17" s="57">
        <f>M13-FY_2024!M14</f>
        <v>-51614259</v>
      </c>
      <c r="N17" s="55">
        <f>N13-FY_2024!N14</f>
        <v>-2935.1999999999534</v>
      </c>
      <c r="O17" s="55">
        <f>O13-FY_2024!O14</f>
        <v>-292</v>
      </c>
      <c r="P17" s="56"/>
      <c r="Q17" s="57">
        <f>Q15-FY_2024!Q14</f>
        <v>5800134</v>
      </c>
    </row>
    <row r="18" spans="1:17" x14ac:dyDescent="0.3">
      <c r="A18" t="s">
        <v>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8"/>
  <sheetViews>
    <sheetView workbookViewId="0">
      <selection activeCell="K21" sqref="K21"/>
    </sheetView>
  </sheetViews>
  <sheetFormatPr defaultRowHeight="14.4" x14ac:dyDescent="0.3"/>
  <cols>
    <col min="1" max="1" width="3.5546875" customWidth="1"/>
    <col min="2" max="2" width="4.88671875" bestFit="1" customWidth="1"/>
    <col min="3" max="3" width="4.44140625" bestFit="1" customWidth="1"/>
    <col min="4" max="4" width="8.5546875" bestFit="1" customWidth="1"/>
    <col min="5" max="5" width="8.6640625" bestFit="1" customWidth="1"/>
    <col min="6" max="6" width="13.109375" bestFit="1" customWidth="1"/>
    <col min="7" max="7" width="11" bestFit="1" customWidth="1"/>
    <col min="8" max="9" width="12" bestFit="1" customWidth="1"/>
    <col min="10" max="10" width="9.33203125" bestFit="1" customWidth="1"/>
    <col min="11" max="11" width="12" bestFit="1" customWidth="1"/>
    <col min="12" max="13" width="11" bestFit="1" customWidth="1"/>
    <col min="14" max="14" width="10.44140625" bestFit="1" customWidth="1"/>
    <col min="15" max="15" width="13" customWidth="1"/>
    <col min="16" max="16" width="4.44140625" customWidth="1"/>
    <col min="17" max="17" width="12" bestFit="1" customWidth="1"/>
  </cols>
  <sheetData>
    <row r="1" spans="2:17" ht="15" thickBot="1" x14ac:dyDescent="0.35"/>
    <row r="2" spans="2:17" ht="27.6" x14ac:dyDescent="0.3">
      <c r="B2" s="44" t="s">
        <v>0</v>
      </c>
      <c r="C2" s="45" t="s">
        <v>13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12</v>
      </c>
    </row>
    <row r="3" spans="2:17" x14ac:dyDescent="0.3">
      <c r="B3" s="46">
        <v>1</v>
      </c>
      <c r="C3" s="1">
        <v>1</v>
      </c>
      <c r="D3" s="1">
        <v>0</v>
      </c>
      <c r="E3" s="1">
        <v>21</v>
      </c>
      <c r="F3" s="1">
        <v>11532480</v>
      </c>
      <c r="G3" s="1">
        <v>12723</v>
      </c>
      <c r="H3" s="1">
        <v>2029432</v>
      </c>
      <c r="I3" s="1">
        <v>2260113</v>
      </c>
      <c r="J3" s="1">
        <v>0</v>
      </c>
      <c r="K3" s="1">
        <v>1144168</v>
      </c>
      <c r="L3" s="1">
        <v>124406</v>
      </c>
      <c r="M3" s="1">
        <v>531577</v>
      </c>
      <c r="N3" s="1">
        <v>32200.14</v>
      </c>
      <c r="O3" s="1">
        <v>31557</v>
      </c>
    </row>
    <row r="4" spans="2:17" x14ac:dyDescent="0.3">
      <c r="B4" s="46">
        <v>2</v>
      </c>
      <c r="C4" s="1">
        <v>5</v>
      </c>
      <c r="D4" s="1">
        <v>0</v>
      </c>
      <c r="E4" s="1">
        <v>36</v>
      </c>
      <c r="F4" s="1">
        <v>11913472</v>
      </c>
      <c r="G4" s="1">
        <v>117067</v>
      </c>
      <c r="H4" s="1">
        <v>2052047</v>
      </c>
      <c r="I4" s="1">
        <v>2297436</v>
      </c>
      <c r="J4" s="1">
        <v>0</v>
      </c>
      <c r="K4" s="1">
        <v>1268386</v>
      </c>
      <c r="L4" s="1">
        <v>150700</v>
      </c>
      <c r="M4" s="1">
        <v>565217</v>
      </c>
      <c r="N4" s="1">
        <v>33663.39</v>
      </c>
      <c r="O4" s="1">
        <v>31869</v>
      </c>
    </row>
    <row r="5" spans="2:17" x14ac:dyDescent="0.3">
      <c r="B5" s="46">
        <v>3</v>
      </c>
      <c r="C5" s="1">
        <v>7</v>
      </c>
      <c r="D5" s="1">
        <v>0</v>
      </c>
      <c r="E5" s="1">
        <v>53</v>
      </c>
      <c r="F5" s="1">
        <v>24397352</v>
      </c>
      <c r="G5" s="1">
        <v>100087</v>
      </c>
      <c r="H5" s="1">
        <v>4135390</v>
      </c>
      <c r="I5" s="1">
        <v>4609085</v>
      </c>
      <c r="J5" s="1">
        <v>0</v>
      </c>
      <c r="K5" s="1">
        <v>3006572</v>
      </c>
      <c r="L5" s="1">
        <v>346164</v>
      </c>
      <c r="M5" s="1">
        <v>1049026</v>
      </c>
      <c r="N5" s="1">
        <v>70254.710000000006</v>
      </c>
      <c r="O5" s="1">
        <v>64274</v>
      </c>
    </row>
    <row r="6" spans="2:17" x14ac:dyDescent="0.3">
      <c r="B6" s="46">
        <v>4</v>
      </c>
      <c r="C6" s="1">
        <v>9</v>
      </c>
      <c r="D6" s="1">
        <v>0</v>
      </c>
      <c r="E6" s="1">
        <v>21</v>
      </c>
      <c r="F6" s="1">
        <v>17579141</v>
      </c>
      <c r="G6" s="1">
        <v>60320</v>
      </c>
      <c r="H6" s="1">
        <v>3054646</v>
      </c>
      <c r="I6" s="1">
        <v>3338822</v>
      </c>
      <c r="J6" s="1">
        <v>0</v>
      </c>
      <c r="K6" s="1">
        <v>1622430</v>
      </c>
      <c r="L6" s="1">
        <v>190306</v>
      </c>
      <c r="M6" s="1">
        <v>763328</v>
      </c>
      <c r="N6" s="1">
        <v>50967.33</v>
      </c>
      <c r="O6" s="1">
        <v>47841</v>
      </c>
    </row>
    <row r="7" spans="2:17" x14ac:dyDescent="0.3">
      <c r="B7" s="46">
        <v>5</v>
      </c>
      <c r="C7" s="1">
        <v>10</v>
      </c>
      <c r="D7" s="1">
        <v>0</v>
      </c>
      <c r="E7" s="1">
        <v>32</v>
      </c>
      <c r="F7" s="1">
        <v>26613135</v>
      </c>
      <c r="G7" s="1">
        <v>91669</v>
      </c>
      <c r="H7" s="1">
        <v>4738287</v>
      </c>
      <c r="I7" s="1">
        <v>5208931</v>
      </c>
      <c r="J7" s="1">
        <v>0</v>
      </c>
      <c r="K7" s="1">
        <v>2527717</v>
      </c>
      <c r="L7" s="1">
        <v>294317</v>
      </c>
      <c r="M7" s="1">
        <v>969435</v>
      </c>
      <c r="N7" s="1">
        <v>77591.58</v>
      </c>
      <c r="O7" s="1">
        <v>74001</v>
      </c>
    </row>
    <row r="8" spans="2:17" x14ac:dyDescent="0.3">
      <c r="B8" s="46">
        <v>6</v>
      </c>
      <c r="C8" s="1">
        <v>11</v>
      </c>
      <c r="D8" s="1">
        <v>0</v>
      </c>
      <c r="E8" s="1">
        <v>53</v>
      </c>
      <c r="F8" s="1">
        <v>54258474</v>
      </c>
      <c r="G8" s="1">
        <v>38356</v>
      </c>
      <c r="H8" s="1">
        <v>9759056</v>
      </c>
      <c r="I8" s="1">
        <v>10721069</v>
      </c>
      <c r="J8" s="1">
        <v>0</v>
      </c>
      <c r="K8" s="1">
        <v>4650502</v>
      </c>
      <c r="L8" s="1">
        <v>581744</v>
      </c>
      <c r="M8" s="1">
        <v>1717436</v>
      </c>
      <c r="N8" s="1">
        <v>161536.45000000001</v>
      </c>
      <c r="O8" s="1">
        <v>152700</v>
      </c>
    </row>
    <row r="9" spans="2:17" x14ac:dyDescent="0.3">
      <c r="B9" s="46">
        <v>7</v>
      </c>
      <c r="C9" s="1">
        <v>12</v>
      </c>
      <c r="D9" s="1">
        <v>0</v>
      </c>
      <c r="E9" s="1">
        <v>34</v>
      </c>
      <c r="F9" s="1">
        <v>15844178</v>
      </c>
      <c r="G9" s="1">
        <v>67213</v>
      </c>
      <c r="H9" s="1">
        <v>2890025</v>
      </c>
      <c r="I9" s="1">
        <v>3234652</v>
      </c>
      <c r="J9" s="1">
        <v>0</v>
      </c>
      <c r="K9" s="1">
        <v>1602123</v>
      </c>
      <c r="L9" s="1">
        <v>190877</v>
      </c>
      <c r="M9" s="1">
        <v>642407</v>
      </c>
      <c r="N9" s="1">
        <v>45200.63</v>
      </c>
      <c r="O9" s="1">
        <v>44932</v>
      </c>
    </row>
    <row r="10" spans="2:17" x14ac:dyDescent="0.3">
      <c r="B10" s="46">
        <v>8</v>
      </c>
      <c r="C10" s="1">
        <v>13</v>
      </c>
      <c r="D10" s="1">
        <v>0</v>
      </c>
      <c r="E10" s="1">
        <v>43</v>
      </c>
      <c r="F10" s="1">
        <v>14658520</v>
      </c>
      <c r="G10" s="1">
        <v>90494</v>
      </c>
      <c r="H10" s="1">
        <v>2414368</v>
      </c>
      <c r="I10" s="1">
        <v>2668853</v>
      </c>
      <c r="J10" s="1">
        <v>0</v>
      </c>
      <c r="K10" s="1">
        <v>1512431</v>
      </c>
      <c r="L10" s="1">
        <v>163527</v>
      </c>
      <c r="M10" s="1">
        <v>652688</v>
      </c>
      <c r="N10" s="1">
        <v>42618.17</v>
      </c>
      <c r="O10" s="1">
        <v>37701</v>
      </c>
    </row>
    <row r="11" spans="2:17" x14ac:dyDescent="0.3">
      <c r="B11" s="46">
        <v>9</v>
      </c>
      <c r="C11" s="1">
        <v>15</v>
      </c>
      <c r="D11" s="1">
        <v>0</v>
      </c>
      <c r="E11" s="1">
        <v>32</v>
      </c>
      <c r="F11" s="1">
        <v>13024286</v>
      </c>
      <c r="G11" s="1">
        <v>105345</v>
      </c>
      <c r="H11" s="1">
        <v>2225179</v>
      </c>
      <c r="I11" s="1">
        <v>2445924</v>
      </c>
      <c r="J11" s="1">
        <v>0</v>
      </c>
      <c r="K11" s="1">
        <v>1314031</v>
      </c>
      <c r="L11" s="1">
        <v>144243</v>
      </c>
      <c r="M11" s="1">
        <v>608889</v>
      </c>
      <c r="N11" s="1">
        <v>38159.699999999997</v>
      </c>
      <c r="O11" s="1">
        <v>34763</v>
      </c>
    </row>
    <row r="13" spans="2:17" x14ac:dyDescent="0.3">
      <c r="F13">
        <f>SUM(F2:F11)</f>
        <v>189821038</v>
      </c>
      <c r="G13">
        <f t="shared" ref="G13:O13" si="0">SUM(G2:G11)</f>
        <v>683274</v>
      </c>
      <c r="H13">
        <f t="shared" si="0"/>
        <v>33298430</v>
      </c>
      <c r="I13">
        <f t="shared" si="0"/>
        <v>36784885</v>
      </c>
      <c r="J13">
        <f t="shared" si="0"/>
        <v>0</v>
      </c>
      <c r="K13">
        <f t="shared" si="0"/>
        <v>18648360</v>
      </c>
      <c r="L13">
        <f t="shared" si="0"/>
        <v>2186284</v>
      </c>
      <c r="M13">
        <f t="shared" si="0"/>
        <v>7500003</v>
      </c>
      <c r="N13">
        <f t="shared" si="0"/>
        <v>552192.1</v>
      </c>
      <c r="O13">
        <f t="shared" si="0"/>
        <v>519638</v>
      </c>
      <c r="Q13">
        <f>F13+G13+H13+I13+J13+K13+L13-M13</f>
        <v>273922268</v>
      </c>
    </row>
    <row r="15" spans="2:17" x14ac:dyDescent="0.3">
      <c r="M15">
        <f>FYXX_0!M15</f>
        <v>29557131</v>
      </c>
      <c r="O15">
        <f>(SUM(F13:L13))-M13</f>
        <v>273922268</v>
      </c>
      <c r="Q15">
        <f>F13+G13+H13+I13+J13+K13+L13-M15</f>
        <v>251865140</v>
      </c>
    </row>
    <row r="16" spans="2:17" x14ac:dyDescent="0.3">
      <c r="O16">
        <f>O15-Driver!K18</f>
        <v>997989</v>
      </c>
    </row>
    <row r="17" spans="1:17" x14ac:dyDescent="0.3">
      <c r="D17" s="58" t="s">
        <v>63</v>
      </c>
      <c r="E17" s="58"/>
      <c r="F17" s="57">
        <f>F13-FY_2024!F14</f>
        <v>4536012</v>
      </c>
      <c r="G17" s="57">
        <f>G13-FY_2024!G14</f>
        <v>104334</v>
      </c>
      <c r="H17" s="57">
        <f>H13-FY_2024!H14</f>
        <v>953392</v>
      </c>
      <c r="I17" s="57">
        <f>I13-FY_2024!I14</f>
        <v>1049715</v>
      </c>
      <c r="J17" s="57">
        <f>J13-FY_2024!J14</f>
        <v>-180006</v>
      </c>
      <c r="K17" s="57">
        <f>K13-FY_2024!K14</f>
        <v>487660</v>
      </c>
      <c r="L17" s="57">
        <f>L13-FY_2024!L14</f>
        <v>57019</v>
      </c>
      <c r="M17" s="57">
        <f>M13-FY_2024!M14</f>
        <v>-51614259</v>
      </c>
      <c r="N17" s="55">
        <f>N13-FY_2024!N14</f>
        <v>-2935.1999999999534</v>
      </c>
      <c r="O17" s="55">
        <f>O13-FY_2024!O14</f>
        <v>-292</v>
      </c>
      <c r="P17" s="56"/>
      <c r="Q17" s="57">
        <f>Q15-FY_2024!Q14</f>
        <v>7008126</v>
      </c>
    </row>
    <row r="18" spans="1:17" x14ac:dyDescent="0.3">
      <c r="A18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Driver</vt:lpstr>
      <vt:lpstr>Notes</vt:lpstr>
      <vt:lpstr>FYXX_0</vt:lpstr>
      <vt:lpstr>FYXX_.05</vt:lpstr>
      <vt:lpstr>FYXX_1</vt:lpstr>
      <vt:lpstr>FYXX_1.5</vt:lpstr>
      <vt:lpstr>FYXX_2.0</vt:lpstr>
      <vt:lpstr>FYXX_2.5</vt:lpstr>
      <vt:lpstr>FYXX_3</vt:lpstr>
      <vt:lpstr>FYXX_3.5</vt:lpstr>
      <vt:lpstr>FYXX_4</vt:lpstr>
      <vt:lpstr>AEA_Names</vt:lpstr>
      <vt:lpstr>FY_2024</vt:lpstr>
      <vt:lpstr>Keystone</vt:lpstr>
      <vt:lpstr>PrairieLakes</vt:lpstr>
      <vt:lpstr>CentralRivers</vt:lpstr>
      <vt:lpstr>Miss_Bend</vt:lpstr>
      <vt:lpstr>GrantWood</vt:lpstr>
      <vt:lpstr>Heartland</vt:lpstr>
      <vt:lpstr>Northwest</vt:lpstr>
      <vt:lpstr>GreenHills</vt:lpstr>
      <vt:lpstr>GreatPrairie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Snyder</dc:creator>
  <cp:lastModifiedBy>Shawn Snyder</cp:lastModifiedBy>
  <cp:lastPrinted>2017-10-19T12:51:40Z</cp:lastPrinted>
  <dcterms:created xsi:type="dcterms:W3CDTF">2015-01-27T18:08:25Z</dcterms:created>
  <dcterms:modified xsi:type="dcterms:W3CDTF">2024-01-11T18:19:41Z</dcterms:modified>
</cp:coreProperties>
</file>